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B84" lockStructure="1"/>
  <bookViews>
    <workbookView xWindow="-15" yWindow="225" windowWidth="5115" windowHeight="7620" tabRatio="896" activeTab="15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" sheetId="269" r:id="rId23"/>
    <sheet name="SC8" sheetId="318" r:id="rId24"/>
    <sheet name="SC9" sheetId="317" r:id="rId25"/>
    <sheet name="SC10" sheetId="181" r:id="rId26"/>
    <sheet name="SC11" sheetId="183" r:id="rId27"/>
    <sheet name="SC12" sheetId="180" r:id="rId28"/>
    <sheet name="SC13a" sheetId="242" r:id="rId29"/>
    <sheet name="SC13b" sheetId="326" r:id="rId30"/>
    <sheet name="SC13c" sheetId="325" r:id="rId31"/>
    <sheet name="SC13d" sheetId="333" r:id="rId32"/>
    <sheet name="SC71charts" sheetId="172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DJ1" localSheetId="4">'[1]Template names'!#REF!</definedName>
    <definedName name="_ADJ1" localSheetId="31">'Template names'!#REF!</definedName>
    <definedName name="_ADJ1">'Template names'!#REF!</definedName>
    <definedName name="_ADJ10" localSheetId="1">'Template names'!#REF!</definedName>
    <definedName name="_ADJ10" localSheetId="31">'[1]Template names'!#REF!</definedName>
    <definedName name="_ADJ10">'[1]Template names'!#REF!</definedName>
    <definedName name="_ADJ11" localSheetId="4">'[1]Template names'!#REF!</definedName>
    <definedName name="_ADJ11" localSheetId="31">'Template names'!#REF!</definedName>
    <definedName name="_ADJ11">'Template names'!#REF!</definedName>
    <definedName name="_ADJ12" localSheetId="4">'[1]Template names'!#REF!</definedName>
    <definedName name="_ADJ12" localSheetId="31">'Template names'!#REF!</definedName>
    <definedName name="_ADJ12">'Template names'!#REF!</definedName>
    <definedName name="_ADJ13" localSheetId="4">'[1]Template names'!#REF!</definedName>
    <definedName name="_ADJ13" localSheetId="31">'Template names'!#REF!</definedName>
    <definedName name="_ADJ13">'Template names'!#REF!</definedName>
    <definedName name="_ADJ14" localSheetId="4">'[1]Template names'!#REF!</definedName>
    <definedName name="_ADJ14" localSheetId="31">'Template names'!#REF!</definedName>
    <definedName name="_ADJ14">'Template names'!#REF!</definedName>
    <definedName name="_ADJ16" localSheetId="4">'[1]Template names'!#REF!</definedName>
    <definedName name="_ADJ16" localSheetId="31">'Template names'!#REF!</definedName>
    <definedName name="_ADJ16">'Template names'!#REF!</definedName>
    <definedName name="_ADJ17" localSheetId="4">'[1]Template names'!#REF!</definedName>
    <definedName name="_ADJ17" localSheetId="31">'Template names'!#REF!</definedName>
    <definedName name="_ADJ17">'Template names'!#REF!</definedName>
    <definedName name="_ADJ18" localSheetId="4">'[1]Template names'!#REF!</definedName>
    <definedName name="_ADJ18" localSheetId="31">'Template names'!#REF!</definedName>
    <definedName name="_ADJ18">'Template names'!#REF!</definedName>
    <definedName name="_ADJ19" localSheetId="4">'[1]Template names'!#REF!</definedName>
    <definedName name="_ADJ19" localSheetId="31">'Template names'!#REF!</definedName>
    <definedName name="_ADJ19">'Template names'!#REF!</definedName>
    <definedName name="_ADJ2" localSheetId="1">'Template names'!#REF!</definedName>
    <definedName name="_ADJ2" localSheetId="31">'[1]Template names'!#REF!</definedName>
    <definedName name="_ADJ2">'[1]Template names'!#REF!</definedName>
    <definedName name="_ADJ3" localSheetId="1">'Template names'!#REF!</definedName>
    <definedName name="_ADJ3" localSheetId="31">'[1]Template names'!#REF!</definedName>
    <definedName name="_ADJ3">'[1]Template names'!#REF!</definedName>
    <definedName name="_ADJ4" localSheetId="1">'Template names'!#REF!</definedName>
    <definedName name="_ADJ4" localSheetId="31">'[1]Template names'!#REF!</definedName>
    <definedName name="_ADJ4">'[1]Template names'!#REF!</definedName>
    <definedName name="_ADJ5" localSheetId="1">'Template names'!#REF!</definedName>
    <definedName name="_ADJ5" localSheetId="31">'[1]Template names'!#REF!</definedName>
    <definedName name="_ADJ5">'[1]Template names'!#REF!</definedName>
    <definedName name="_ADJ6" localSheetId="1">'Template names'!#REF!</definedName>
    <definedName name="_ADJ6" localSheetId="31">'[1]Template names'!#REF!</definedName>
    <definedName name="_ADJ6">'[1]Template names'!#REF!</definedName>
    <definedName name="_ADJ7" localSheetId="1">'Template names'!#REF!</definedName>
    <definedName name="_ADJ7" localSheetId="31">'[1]Template names'!#REF!</definedName>
    <definedName name="_ADJ7">'[1]Template names'!#REF!</definedName>
    <definedName name="_ADJ8" localSheetId="1">'Template names'!#REF!</definedName>
    <definedName name="_ADJ8" localSheetId="31">'[1]Template names'!#REF!</definedName>
    <definedName name="_ADJ8">'[1]Template names'!#REF!</definedName>
    <definedName name="_ADJ9" localSheetId="1">'Template names'!#REF!</definedName>
    <definedName name="_ADJ9" localSheetId="31">'[1]Template names'!#REF!</definedName>
    <definedName name="_ADJ9">'[1]Template names'!#REF!</definedName>
    <definedName name="_ccf04" localSheetId="31">#REF!</definedName>
    <definedName name="_ccf04">#REF!</definedName>
    <definedName name="_ccf05" localSheetId="31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1">#REF!</definedName>
    <definedName name="_ecf04">#REF!</definedName>
    <definedName name="_ecf05" localSheetId="31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1">#REF!</definedName>
    <definedName name="_emp04">#REF!</definedName>
    <definedName name="_emp05" localSheetId="31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1">#REF!</definedName>
    <definedName name="_inf1">#REF!</definedName>
    <definedName name="_inf2" localSheetId="31">#REF!</definedName>
    <definedName name="_inf2">#REF!</definedName>
    <definedName name="_inf3" localSheetId="31">#REF!</definedName>
    <definedName name="_inf3">#REF!</definedName>
    <definedName name="_int04" localSheetId="31">#REF!</definedName>
    <definedName name="_int04">#REF!</definedName>
    <definedName name="_int05" localSheetId="31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1">#REF!</definedName>
    <definedName name="_inv04">#REF!</definedName>
    <definedName name="_inv05" localSheetId="31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1">'Template names'!#REF!</definedName>
    <definedName name="_MEB1">'Template names'!#REF!</definedName>
    <definedName name="_MEB10" localSheetId="4">'[1]Template names'!#REF!</definedName>
    <definedName name="_MEB10" localSheetId="31">'Template names'!#REF!</definedName>
    <definedName name="_MEB10">'Template names'!#REF!</definedName>
    <definedName name="_MEB11" localSheetId="4">'[1]Template names'!#REF!</definedName>
    <definedName name="_MEB11" localSheetId="31">'Template names'!#REF!</definedName>
    <definedName name="_MEB11">'Template names'!#REF!</definedName>
    <definedName name="_MEB12" localSheetId="4">'[1]Template names'!#REF!</definedName>
    <definedName name="_MEB12" localSheetId="31">'Template names'!#REF!</definedName>
    <definedName name="_MEB12">'Template names'!#REF!</definedName>
    <definedName name="_MEB2" localSheetId="4">'[1]Template names'!#REF!</definedName>
    <definedName name="_MEB2" localSheetId="31">'Template names'!#REF!</definedName>
    <definedName name="_MEB2">'Template names'!#REF!</definedName>
    <definedName name="_MEB3" localSheetId="4">'[1]Template names'!#REF!</definedName>
    <definedName name="_MEB3" localSheetId="31">'Template names'!#REF!</definedName>
    <definedName name="_MEB3">'Template names'!#REF!</definedName>
    <definedName name="_MEB4" localSheetId="4">'[1]Template names'!#REF!</definedName>
    <definedName name="_MEB4" localSheetId="31">'Template names'!#REF!</definedName>
    <definedName name="_MEB4">'Template names'!#REF!</definedName>
    <definedName name="_MEB5" localSheetId="4">'[1]Template names'!#REF!</definedName>
    <definedName name="_MEB5" localSheetId="31">'Template names'!#REF!</definedName>
    <definedName name="_MEB5">'Template names'!#REF!</definedName>
    <definedName name="_MEB6" localSheetId="4">'[1]Template names'!#REF!</definedName>
    <definedName name="_MEB6" localSheetId="31">'Template names'!#REF!</definedName>
    <definedName name="_MEB6">'Template names'!#REF!</definedName>
    <definedName name="_MEB7" localSheetId="4">'[1]Template names'!#REF!</definedName>
    <definedName name="_MEB7" localSheetId="31">'Template names'!#REF!</definedName>
    <definedName name="_MEB7">'Template names'!#REF!</definedName>
    <definedName name="_MEB8" localSheetId="4">'[1]Template names'!#REF!</definedName>
    <definedName name="_MEB8" localSheetId="31">'Template names'!#REF!</definedName>
    <definedName name="_MEB8">'Template names'!#REF!</definedName>
    <definedName name="_MEB9" localSheetId="4">'[1]Template names'!#REF!</definedName>
    <definedName name="_MEB9" localSheetId="31">'Template names'!#REF!</definedName>
    <definedName name="_MEB9">'Template names'!#REF!</definedName>
    <definedName name="_MER1" localSheetId="4">'[1]Template names'!#REF!</definedName>
    <definedName name="_MER1" localSheetId="31">'Template names'!#REF!</definedName>
    <definedName name="_MER1">'Template names'!#REF!</definedName>
    <definedName name="_MER10" localSheetId="4">'[1]Template names'!#REF!</definedName>
    <definedName name="_MER10" localSheetId="31">'Template names'!#REF!</definedName>
    <definedName name="_MER10">'Template names'!#REF!</definedName>
    <definedName name="_MER11" localSheetId="4">'[1]Template names'!#REF!</definedName>
    <definedName name="_MER11" localSheetId="31">'Template names'!#REF!</definedName>
    <definedName name="_MER11">'Template names'!#REF!</definedName>
    <definedName name="_MER2" localSheetId="4">'[1]Template names'!#REF!</definedName>
    <definedName name="_MER2" localSheetId="31">'Template names'!#REF!</definedName>
    <definedName name="_MER2">'Template names'!#REF!</definedName>
    <definedName name="_MER3" localSheetId="4">'[1]Template names'!#REF!</definedName>
    <definedName name="_MER3" localSheetId="31">'Template names'!#REF!</definedName>
    <definedName name="_MER3">'Template names'!#REF!</definedName>
    <definedName name="_MER4" localSheetId="4">'[1]Template names'!#REF!</definedName>
    <definedName name="_MER4" localSheetId="31">'Template names'!#REF!</definedName>
    <definedName name="_MER4">'Template names'!#REF!</definedName>
    <definedName name="_MER5" localSheetId="4">'[1]Template names'!#REF!</definedName>
    <definedName name="_MER5" localSheetId="31">'Template names'!#REF!</definedName>
    <definedName name="_MER5">'Template names'!#REF!</definedName>
    <definedName name="_MER6" localSheetId="4">'[1]Template names'!#REF!</definedName>
    <definedName name="_MER6" localSheetId="31">'Template names'!#REF!</definedName>
    <definedName name="_MER6">'Template names'!#REF!</definedName>
    <definedName name="_MER7" localSheetId="4">'[1]Template names'!#REF!</definedName>
    <definedName name="_MER7" localSheetId="31">'Template names'!#REF!</definedName>
    <definedName name="_MER7">'Template names'!#REF!</definedName>
    <definedName name="_MER8" localSheetId="4">'[1]Template names'!#REF!</definedName>
    <definedName name="_MER8" localSheetId="31">'Template names'!#REF!</definedName>
    <definedName name="_MER8">'Template names'!#REF!</definedName>
    <definedName name="_MER9" localSheetId="4">'[1]Template names'!#REF!</definedName>
    <definedName name="_MER9" localSheetId="31">'Template names'!#REF!</definedName>
    <definedName name="_MER9">'Template names'!#REF!</definedName>
    <definedName name="_rat03" localSheetId="31">#REF!</definedName>
    <definedName name="_rat03">#REF!</definedName>
    <definedName name="_rat04" localSheetId="31">#REF!</definedName>
    <definedName name="_rat04">#REF!</definedName>
    <definedName name="_rat05" localSheetId="31">#REF!</definedName>
    <definedName name="_rat05">#REF!</definedName>
    <definedName name="_rat06" localSheetId="31">#REF!</definedName>
    <definedName name="_rat06">#REF!</definedName>
    <definedName name="_rat07" localSheetId="31">#REF!</definedName>
    <definedName name="_rat07">#REF!</definedName>
    <definedName name="_rat08" localSheetId="31">#REF!</definedName>
    <definedName name="_rat08">#REF!</definedName>
    <definedName name="_rat09" localSheetId="31">#REF!</definedName>
    <definedName name="_rat09">#REF!</definedName>
    <definedName name="_rat10" localSheetId="31">#REF!</definedName>
    <definedName name="_rat10">#REF!</definedName>
    <definedName name="_rat11" localSheetId="31">#REF!</definedName>
    <definedName name="_rat11">#REF!</definedName>
    <definedName name="_rat12" localSheetId="31">#REF!</definedName>
    <definedName name="_rat12">#REF!</definedName>
    <definedName name="_rat13" localSheetId="31">#REF!</definedName>
    <definedName name="_rat13">#REF!</definedName>
    <definedName name="_rgr05" localSheetId="31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1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1">'Template names'!#REF!</definedName>
    <definedName name="_Sch1">'Template names'!#REF!</definedName>
    <definedName name="_Sch10" localSheetId="31">'Template names'!#REF!</definedName>
    <definedName name="_Sch10">'Template names'!#REF!</definedName>
    <definedName name="_sch11" localSheetId="31">'Template names'!#REF!</definedName>
    <definedName name="_sch11">'Template names'!#REF!</definedName>
    <definedName name="_Sch2" localSheetId="31">'Template names'!#REF!</definedName>
    <definedName name="_Sch2">'Template names'!#REF!</definedName>
    <definedName name="_Sch3" localSheetId="31">'Template names'!#REF!</definedName>
    <definedName name="_Sch3">'Template names'!#REF!</definedName>
    <definedName name="_Sch4" localSheetId="31">'Template names'!#REF!</definedName>
    <definedName name="_Sch4">'Template names'!#REF!</definedName>
    <definedName name="_Sch5" localSheetId="31">'Template names'!#REF!</definedName>
    <definedName name="_Sch5">'Template names'!#REF!</definedName>
    <definedName name="_Sch6" localSheetId="31">'Template names'!#REF!</definedName>
    <definedName name="_Sch6">'Template names'!#REF!</definedName>
    <definedName name="_Sch7" localSheetId="31">'Template names'!#REF!</definedName>
    <definedName name="_Sch7">'Template names'!#REF!</definedName>
    <definedName name="_Sch8" localSheetId="31">'Template names'!#REF!</definedName>
    <definedName name="_Sch8">'Template names'!#REF!</definedName>
    <definedName name="_Sch9" localSheetId="31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1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1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1">'Template names'!#REF!</definedName>
    <definedName name="ADJ10plus">'Template names'!#REF!</definedName>
    <definedName name="ADJ18A" localSheetId="4">'[1]Template names'!#REF!</definedName>
    <definedName name="ADJ18A" localSheetId="31">'Template names'!#REF!</definedName>
    <definedName name="ADJ18A">'Template names'!#REF!</definedName>
    <definedName name="ADJ18B" localSheetId="4">'[1]Template names'!#REF!</definedName>
    <definedName name="ADJ18B" localSheetId="31">'Template names'!#REF!</definedName>
    <definedName name="ADJ18B">'Template names'!#REF!</definedName>
    <definedName name="ADJ19B" localSheetId="4">'[1]Template names'!#REF!</definedName>
    <definedName name="ADJ19B" localSheetId="31">'Template names'!#REF!</definedName>
    <definedName name="ADJ19B">'Template names'!#REF!</definedName>
    <definedName name="ADJ8A" localSheetId="4">'[1]Template names'!#REF!</definedName>
    <definedName name="ADJ8A" localSheetId="31">'Template names'!#REF!</definedName>
    <definedName name="ADJ8A">'Template names'!#REF!</definedName>
    <definedName name="ADJ8B" localSheetId="4">'[1]Template names'!#REF!</definedName>
    <definedName name="ADJ8B" localSheetId="31">'Template names'!#REF!</definedName>
    <definedName name="ADJ8B">'Template names'!#REF!</definedName>
    <definedName name="ADJP1" localSheetId="4">'[1]Template names'!#REF!</definedName>
    <definedName name="ADJP1" localSheetId="31">'Template names'!#REF!</definedName>
    <definedName name="ADJP1">'Template names'!#REF!</definedName>
    <definedName name="adjsum" localSheetId="1">'Template names'!#REF!</definedName>
    <definedName name="adjsum" localSheetId="31">'[1]Template names'!#REF!</definedName>
    <definedName name="adjsum">'[1]Template names'!#REF!</definedName>
    <definedName name="ADJTB1" localSheetId="4">'[1]Template names'!#REF!</definedName>
    <definedName name="ADJTB1" localSheetId="31">'Template names'!#REF!</definedName>
    <definedName name="ADJTB1">'Template names'!#REF!</definedName>
    <definedName name="ADJXX" localSheetId="4">'[1]Template names'!#REF!</definedName>
    <definedName name="ADJXX" localSheetId="31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1">#REF!</definedName>
    <definedName name="balloon">#REF!</definedName>
    <definedName name="basedesc">'Template names'!$D$36:$D$36</definedName>
    <definedName name="Bus" localSheetId="31">#REF!</definedName>
    <definedName name="Bus">#REF!</definedName>
    <definedName name="capexfactor" localSheetId="31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1">#REF!</definedName>
    <definedName name="capexrate04">#REF!</definedName>
    <definedName name="capexrate05" localSheetId="31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1">#REF!</definedName>
    <definedName name="cpix04">#REF!</definedName>
    <definedName name="cpix05" localSheetId="31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1">#REF!</definedName>
    <definedName name="credit06">#REF!</definedName>
    <definedName name="date" localSheetId="4">[3]Data!$B$2</definedName>
    <definedName name="date">Instructions!$X$11</definedName>
    <definedName name="debt03" localSheetId="31">#REF!</definedName>
    <definedName name="debt03">#REF!</definedName>
    <definedName name="debt04" localSheetId="31">#REF!</definedName>
    <definedName name="debt04">#REF!</definedName>
    <definedName name="debt05" localSheetId="31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1">#REF!</definedName>
    <definedName name="debtrev04">#REF!</definedName>
    <definedName name="debtrev05" localSheetId="31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1">#REF!</definedName>
    <definedName name="ecchoice">#REF!</definedName>
    <definedName name="elec05" localSheetId="31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1">#REF!</definedName>
    <definedName name="eskom07">#REF!</definedName>
    <definedName name="FinYear" localSheetId="1">Instructions!$X$37</definedName>
    <definedName name="FinYear">[1]Instructions!$X$36</definedName>
    <definedName name="finyears" localSheetId="31">#REF!</definedName>
    <definedName name="finyears">#REF!</definedName>
    <definedName name="finyr" localSheetId="31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1">'Template names'!#REF!</definedName>
    <definedName name="head1A">'Template names'!#REF!</definedName>
    <definedName name="head1b" localSheetId="4">'[1]Template names'!$B$4</definedName>
    <definedName name="head1b" localSheetId="31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1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1">'Template names'!#REF!</definedName>
    <definedName name="Head3a">'Template names'!#REF!</definedName>
    <definedName name="Head4" localSheetId="4">'[1]Template names'!$B$8</definedName>
    <definedName name="Head4" localSheetId="31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1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1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1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1">#REF!</definedName>
    <definedName name="longterm">#REF!</definedName>
    <definedName name="MEAB1" localSheetId="4">'[1]Template names'!#REF!</definedName>
    <definedName name="MEAB1" localSheetId="31">'Template names'!#REF!</definedName>
    <definedName name="MEAB1">'Template names'!#REF!</definedName>
    <definedName name="MEAB10" localSheetId="4">'[1]Template names'!#REF!</definedName>
    <definedName name="MEAB10" localSheetId="31">'Template names'!#REF!</definedName>
    <definedName name="MEAB10">'Template names'!#REF!</definedName>
    <definedName name="MEAB11" localSheetId="4">'[1]Template names'!#REF!</definedName>
    <definedName name="MEAB11" localSheetId="31">'Template names'!#REF!</definedName>
    <definedName name="MEAB11">'Template names'!#REF!</definedName>
    <definedName name="MEAB2" localSheetId="4">'[1]Template names'!#REF!</definedName>
    <definedName name="MEAB2" localSheetId="31">'Template names'!#REF!</definedName>
    <definedName name="MEAB2">'Template names'!#REF!</definedName>
    <definedName name="MEAB3" localSheetId="4">'[1]Template names'!#REF!</definedName>
    <definedName name="MEAB3" localSheetId="31">'Template names'!#REF!</definedName>
    <definedName name="MEAB3">'Template names'!#REF!</definedName>
    <definedName name="MEAB4" localSheetId="4">'[1]Template names'!#REF!</definedName>
    <definedName name="MEAB4" localSheetId="31">'Template names'!#REF!</definedName>
    <definedName name="MEAB4">'Template names'!#REF!</definedName>
    <definedName name="MEAB5" localSheetId="4">'[1]Template names'!#REF!</definedName>
    <definedName name="MEAB5" localSheetId="31">'Template names'!#REF!</definedName>
    <definedName name="MEAB5">'Template names'!#REF!</definedName>
    <definedName name="MEAB6" localSheetId="4">'[1]Template names'!#REF!</definedName>
    <definedName name="MEAB6" localSheetId="31">'Template names'!#REF!</definedName>
    <definedName name="MEAB6">'Template names'!#REF!</definedName>
    <definedName name="MEAB7" localSheetId="4">'[1]Template names'!#REF!</definedName>
    <definedName name="MEAB7" localSheetId="31">'Template names'!#REF!</definedName>
    <definedName name="MEAB7">'Template names'!#REF!</definedName>
    <definedName name="MEAB8" localSheetId="4">'[1]Template names'!#REF!</definedName>
    <definedName name="MEAB8" localSheetId="31">'Template names'!#REF!</definedName>
    <definedName name="MEAB8">'Template names'!#REF!</definedName>
    <definedName name="MEAB9" localSheetId="4">'[1]Template names'!#REF!</definedName>
    <definedName name="MEAB9" localSheetId="31">'Template names'!#REF!</definedName>
    <definedName name="MEAB9">'Template names'!#REF!</definedName>
    <definedName name="MEABsum" localSheetId="4">'[1]Template names'!#REF!</definedName>
    <definedName name="MEABsum" localSheetId="31">'Template names'!#REF!</definedName>
    <definedName name="MEABsum">'Template names'!#REF!</definedName>
    <definedName name="MEB1A" localSheetId="4">'[1]Template names'!#REF!</definedName>
    <definedName name="MEB1A" localSheetId="31">'Template names'!#REF!</definedName>
    <definedName name="MEB1A">'Template names'!#REF!</definedName>
    <definedName name="MEBsum" localSheetId="4">'[1]Template names'!#REF!</definedName>
    <definedName name="MEBsum" localSheetId="31">'Template names'!#REF!</definedName>
    <definedName name="MEBsum">'Template names'!#REF!</definedName>
    <definedName name="MERsum" localSheetId="4">'[1]Template names'!#REF!</definedName>
    <definedName name="MERsum" localSheetId="31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Instructions!$X$35</definedName>
    <definedName name="MTREF" localSheetId="4">[1]Instructions!$X$34</definedName>
    <definedName name="MTREF">Instructions!$X$35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1">#REF!</definedName>
    <definedName name="nersa07">#REF!</definedName>
    <definedName name="nersa08" localSheetId="31">#REF!</definedName>
    <definedName name="nersa08">#REF!</definedName>
    <definedName name="nethhgr05" localSheetId="31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'SC3'!$N$13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SC'!$A$1:$K$55</definedName>
    <definedName name="_xlnm.Print_Area" localSheetId="9">'C3-FinPerf V'!$A$1:$K$43</definedName>
    <definedName name="_xlnm.Print_Area" localSheetId="11">'C4-FinPerf RE'!$A$1:$K$54</definedName>
    <definedName name="_xlnm.Print_Area" localSheetId="12">'C5-Capex'!$A$1:$K$82</definedName>
    <definedName name="_xlnm.Print_Area" localSheetId="14">'C6-FinPos'!$A$1:$G$52</definedName>
    <definedName name="_xlnm.Print_Area" localSheetId="15">'C7-CFlow'!$A$1:$K$39</definedName>
    <definedName name="_xlnm.Print_Area" localSheetId="1">Instructions!$A$1:$M$48</definedName>
    <definedName name="_xlnm.Print_Area" localSheetId="16">'SC1'!$A$1:$E$48</definedName>
    <definedName name="_xlnm.Print_Area" localSheetId="25">'SC10'!$A$1:$K$47</definedName>
    <definedName name="_xlnm.Print_Area" localSheetId="26">'SC11'!$A$1:$K$49</definedName>
    <definedName name="_xlnm.Print_Area" localSheetId="27">'SC12'!$A$1:$J$18</definedName>
    <definedName name="_xlnm.Print_Area" localSheetId="28">SC13a!$A$1:$K$87</definedName>
    <definedName name="_xlnm.Print_Area" localSheetId="17">'SC2'!$A$1:$H$66</definedName>
    <definedName name="_xlnm.Print_Area" localSheetId="18">'SC3'!$A$1:$M$25</definedName>
    <definedName name="_xlnm.Print_Area" localSheetId="19">'SC4'!$A$1:$L$17</definedName>
    <definedName name="_xlnm.Print_Area" localSheetId="20">'SC5'!$A$1:$J$28</definedName>
    <definedName name="_xlnm.Print_Area" localSheetId="21">'SC6'!$A$1:$K$78</definedName>
    <definedName name="_xlnm.Print_Area" localSheetId="22">'SC7'!$A$1:$K$50</definedName>
    <definedName name="_xlnm.Print_Area" localSheetId="32">SC71charts!$A$1:$U$126</definedName>
    <definedName name="_xlnm.Print_Area" localSheetId="23">'SC8'!$A$1:$K$116</definedName>
    <definedName name="_xlnm.Print_Area" localSheetId="24">'SC9'!$A$1:$Q$67</definedName>
    <definedName name="_xlnm.Print_Area" localSheetId="0">START!$A$1:$O$40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1">#REF!</definedName>
    <definedName name="Rand000">#REF!</definedName>
    <definedName name="RandM">'Template names'!$B$71</definedName>
    <definedName name="REDHHGR06" localSheetId="31">#REF!</definedName>
    <definedName name="REDHHGR06">#REF!</definedName>
    <definedName name="redhhgr07" localSheetId="31">#REF!</definedName>
    <definedName name="redhhgr07">#REF!</definedName>
    <definedName name="redrev06" localSheetId="31">#REF!</definedName>
    <definedName name="redrev06">#REF!</definedName>
    <definedName name="redrev07" localSheetId="31">#REF!</definedName>
    <definedName name="redrev07">#REF!</definedName>
    <definedName name="Reds" localSheetId="31">#REF!</definedName>
    <definedName name="Reds">#REF!</definedName>
    <definedName name="renewyears">#REF!</definedName>
    <definedName name="Request0506" localSheetId="31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1">#REF!</definedName>
    <definedName name="rmcRED06">#REF!</definedName>
    <definedName name="rmcred07" localSheetId="1">#REF!</definedName>
    <definedName name="rmcred07" localSheetId="4">#REF!</definedName>
    <definedName name="rmcred07" localSheetId="31">#REF!</definedName>
    <definedName name="rmcred07">#REF!</definedName>
    <definedName name="roundfactor" localSheetId="1">#REF!</definedName>
    <definedName name="roundfactor" localSheetId="4">#REF!</definedName>
    <definedName name="roundfactor" localSheetId="31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1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cale" localSheetId="4">'[1]Compliance assessment'!$L$77</definedName>
    <definedName name="Scale" localSheetId="31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1">#REF!</definedName>
    <definedName name="scenario">#REF!</definedName>
    <definedName name="Sch1a" localSheetId="31">'Template names'!#REF!</definedName>
    <definedName name="Sch1a">'Template names'!#REF!</definedName>
    <definedName name="Sch2N" localSheetId="31">'Template names'!#REF!</definedName>
    <definedName name="Sch2N">'Template names'!#REF!</definedName>
    <definedName name="Sch5N" localSheetId="31">'Template names'!#REF!</definedName>
    <definedName name="Sch5N">'Template names'!#REF!</definedName>
    <definedName name="Sch7N" localSheetId="31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1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1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1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1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1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1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1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1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1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1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1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1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1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1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1">'Template names'!#REF!</definedName>
    <definedName name="Tablc8">'Template names'!#REF!</definedName>
    <definedName name="Table1" localSheetId="31">'Template names'!#REF!</definedName>
    <definedName name="Table1">'Template names'!#REF!</definedName>
    <definedName name="Table10" localSheetId="31">'Template names'!#REF!</definedName>
    <definedName name="Table10">'Template names'!#REF!</definedName>
    <definedName name="Table11" localSheetId="31">'Template names'!#REF!</definedName>
    <definedName name="Table11">'Template names'!#REF!</definedName>
    <definedName name="Table12" localSheetId="31">'Template names'!#REF!</definedName>
    <definedName name="Table12">'Template names'!#REF!</definedName>
    <definedName name="Table13" localSheetId="31">'Template names'!#REF!</definedName>
    <definedName name="Table13">'Template names'!#REF!</definedName>
    <definedName name="Table14" localSheetId="31">'Template names'!#REF!</definedName>
    <definedName name="Table14">'Template names'!#REF!</definedName>
    <definedName name="Table14A" localSheetId="31">'Template names'!#REF!</definedName>
    <definedName name="Table14A">'Template names'!#REF!</definedName>
    <definedName name="Table14B" localSheetId="31">'Template names'!#REF!</definedName>
    <definedName name="Table14B">'Template names'!#REF!</definedName>
    <definedName name="Table15" localSheetId="31">'Template names'!#REF!</definedName>
    <definedName name="Table15">'Template names'!#REF!</definedName>
    <definedName name="Table15A" localSheetId="31">'Template names'!#REF!</definedName>
    <definedName name="Table15A">'Template names'!#REF!</definedName>
    <definedName name="Table15New" localSheetId="31">'Template names'!#REF!</definedName>
    <definedName name="Table15New">'Template names'!#REF!</definedName>
    <definedName name="Table16" localSheetId="31">'Template names'!#REF!</definedName>
    <definedName name="Table16">'Template names'!#REF!</definedName>
    <definedName name="Table17" localSheetId="31">'Template names'!#REF!</definedName>
    <definedName name="Table17">'Template names'!#REF!</definedName>
    <definedName name="Table18" localSheetId="31">'Template names'!#REF!</definedName>
    <definedName name="Table18">'Template names'!#REF!</definedName>
    <definedName name="Table19" localSheetId="31">'Template names'!#REF!</definedName>
    <definedName name="Table19">'Template names'!#REF!</definedName>
    <definedName name="Table2" localSheetId="31">'Template names'!#REF!</definedName>
    <definedName name="Table2">'Template names'!#REF!</definedName>
    <definedName name="Table20" localSheetId="31">'Template names'!#REF!</definedName>
    <definedName name="Table20">'Template names'!#REF!</definedName>
    <definedName name="Table21" localSheetId="31">'Template names'!#REF!</definedName>
    <definedName name="Table21">'Template names'!#REF!</definedName>
    <definedName name="Table22" localSheetId="31">'Template names'!#REF!</definedName>
    <definedName name="Table22">'Template names'!#REF!</definedName>
    <definedName name="Table23" localSheetId="31">'Template names'!#REF!</definedName>
    <definedName name="Table23">'Template names'!#REF!</definedName>
    <definedName name="Table24" localSheetId="31">'Template names'!#REF!</definedName>
    <definedName name="Table24">'Template names'!#REF!</definedName>
    <definedName name="Table24A" localSheetId="31">'Template names'!#REF!</definedName>
    <definedName name="Table24A">'Template names'!#REF!</definedName>
    <definedName name="Table25" localSheetId="31">'Template names'!#REF!</definedName>
    <definedName name="Table25">'Template names'!#REF!</definedName>
    <definedName name="Table26" localSheetId="31">'Template names'!#REF!</definedName>
    <definedName name="Table26">'Template names'!#REF!</definedName>
    <definedName name="Table27" localSheetId="31">'Template names'!#REF!</definedName>
    <definedName name="Table27">'Template names'!#REF!</definedName>
    <definedName name="Table28" localSheetId="31">'Template names'!#REF!</definedName>
    <definedName name="Table28">'Template names'!#REF!</definedName>
    <definedName name="Table29" localSheetId="31">'Template names'!#REF!</definedName>
    <definedName name="Table29">'Template names'!#REF!</definedName>
    <definedName name="Table3" localSheetId="31">'Template names'!#REF!</definedName>
    <definedName name="Table3">'Template names'!#REF!</definedName>
    <definedName name="Table30" localSheetId="31">'Template names'!#REF!</definedName>
    <definedName name="Table30">'Template names'!#REF!</definedName>
    <definedName name="Table31" localSheetId="31">'Template names'!#REF!</definedName>
    <definedName name="Table31">'Template names'!#REF!</definedName>
    <definedName name="Table32" localSheetId="31">'Template names'!#REF!</definedName>
    <definedName name="Table32">'Template names'!#REF!</definedName>
    <definedName name="Table33" localSheetId="31">'Template names'!#REF!</definedName>
    <definedName name="Table33">'Template names'!#REF!</definedName>
    <definedName name="Table4" localSheetId="31">'Template names'!#REF!</definedName>
    <definedName name="Table4">'Template names'!#REF!</definedName>
    <definedName name="Table5" localSheetId="31">'Template names'!#REF!</definedName>
    <definedName name="Table5">'Template names'!#REF!</definedName>
    <definedName name="Table6" localSheetId="31">'Template names'!#REF!</definedName>
    <definedName name="Table6">'Template names'!#REF!</definedName>
    <definedName name="Table7" localSheetId="31">'Template names'!#REF!</definedName>
    <definedName name="Table7">'Template names'!#REF!</definedName>
    <definedName name="Table8" localSheetId="31">'Template names'!#REF!</definedName>
    <definedName name="Table8">'Template names'!#REF!</definedName>
    <definedName name="Table9" localSheetId="31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1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1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1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1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1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1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1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4525"/>
  <fileRecoveryPr autoRecover="0"/>
</workbook>
</file>

<file path=xl/calcChain.xml><?xml version="1.0" encoding="utf-8"?>
<calcChain xmlns="http://schemas.openxmlformats.org/spreadsheetml/2006/main">
  <c r="G32" i="174" l="1"/>
  <c r="G31" i="174"/>
  <c r="G30" i="174"/>
  <c r="G25" i="174"/>
  <c r="G24" i="174"/>
  <c r="G51" i="270" l="1"/>
  <c r="G13" i="177"/>
  <c r="G15" i="177"/>
  <c r="G14" i="177"/>
  <c r="G7" i="177"/>
  <c r="G9" i="177"/>
  <c r="G8" i="177"/>
  <c r="G127" i="330" l="1"/>
  <c r="G110" i="330"/>
  <c r="F110" i="330"/>
  <c r="G102" i="330"/>
  <c r="F102" i="330"/>
  <c r="G138" i="330"/>
  <c r="F138" i="330"/>
  <c r="G109" i="330"/>
  <c r="F109" i="330"/>
  <c r="G95" i="330"/>
  <c r="F95" i="330"/>
  <c r="G101" i="330"/>
  <c r="F101" i="330"/>
  <c r="G98" i="330"/>
  <c r="F98" i="330"/>
  <c r="G93" i="330"/>
  <c r="F93" i="330"/>
  <c r="G87" i="330"/>
  <c r="F87" i="330"/>
  <c r="G94" i="330"/>
  <c r="F94" i="330"/>
  <c r="G117" i="330"/>
  <c r="F117" i="330"/>
  <c r="G134" i="330"/>
  <c r="G124" i="330"/>
  <c r="F124" i="330"/>
  <c r="G116" i="330"/>
  <c r="G79" i="330"/>
  <c r="G83" i="330"/>
  <c r="F83" i="330"/>
  <c r="G84" i="330"/>
  <c r="F84" i="330"/>
  <c r="G89" i="330"/>
  <c r="F89" i="330"/>
  <c r="G81" i="330"/>
  <c r="G78" i="330"/>
  <c r="G82" i="330"/>
  <c r="F82" i="330"/>
  <c r="G77" i="330"/>
  <c r="G58" i="330"/>
  <c r="G63" i="330"/>
  <c r="F63" i="330"/>
  <c r="G59" i="330"/>
  <c r="F59" i="330"/>
  <c r="G55" i="330"/>
  <c r="F55" i="330"/>
  <c r="G41" i="330"/>
  <c r="F41" i="330"/>
  <c r="G26" i="330"/>
  <c r="F26" i="330"/>
  <c r="G32" i="330"/>
  <c r="F32" i="330"/>
  <c r="G29" i="330"/>
  <c r="G18" i="330"/>
  <c r="G65" i="330"/>
  <c r="F65" i="330"/>
  <c r="G10" i="330"/>
  <c r="F10" i="330"/>
  <c r="G14" i="330"/>
  <c r="F14" i="330"/>
  <c r="G20" i="330"/>
  <c r="G53" i="325"/>
  <c r="F53" i="325"/>
  <c r="G19" i="183"/>
  <c r="G35" i="181"/>
  <c r="F35" i="181"/>
  <c r="G34" i="181"/>
  <c r="G33" i="181"/>
  <c r="G31" i="181"/>
  <c r="F31" i="181"/>
  <c r="G30" i="181"/>
  <c r="G27" i="181"/>
  <c r="G26" i="181"/>
  <c r="F26" i="181"/>
  <c r="G21" i="181"/>
  <c r="F21" i="181"/>
  <c r="G20" i="181"/>
  <c r="G17" i="181"/>
  <c r="G15" i="181"/>
  <c r="G14" i="181"/>
  <c r="G13" i="181"/>
  <c r="G12" i="181"/>
  <c r="F12" i="181"/>
  <c r="G11" i="181"/>
  <c r="G10" i="181"/>
  <c r="G9" i="181"/>
  <c r="F9" i="181"/>
  <c r="G8" i="181"/>
  <c r="F8" i="181"/>
  <c r="G6" i="181"/>
  <c r="F6" i="181"/>
  <c r="I40" i="317"/>
  <c r="I38" i="317"/>
  <c r="I37" i="317"/>
  <c r="G92" i="318"/>
  <c r="G95" i="318"/>
  <c r="G90" i="318"/>
  <c r="G89" i="318"/>
  <c r="G88" i="318"/>
  <c r="G87" i="318"/>
  <c r="G79" i="318"/>
  <c r="G76" i="318"/>
  <c r="G73" i="318"/>
  <c r="G72" i="318"/>
  <c r="G71" i="318"/>
  <c r="I9" i="238"/>
  <c r="H9" i="238"/>
  <c r="I8" i="238"/>
  <c r="H8" i="238"/>
  <c r="G296" i="323"/>
  <c r="G35" i="182"/>
  <c r="F35" i="182"/>
  <c r="G26" i="182"/>
  <c r="F26" i="182"/>
  <c r="G220" i="323"/>
  <c r="F220" i="323"/>
  <c r="G210" i="323"/>
  <c r="F210" i="323"/>
  <c r="G51" i="325" l="1"/>
  <c r="F51" i="325"/>
  <c r="G14" i="325"/>
  <c r="F14" i="325"/>
  <c r="G13" i="325"/>
  <c r="F13" i="325"/>
  <c r="G9" i="325"/>
  <c r="F9" i="325"/>
  <c r="G59" i="325"/>
  <c r="F59" i="325"/>
  <c r="G21" i="242"/>
  <c r="F21" i="242"/>
  <c r="G34" i="326"/>
  <c r="F34" i="326"/>
  <c r="G9" i="326"/>
  <c r="F9" i="326"/>
  <c r="G18" i="326"/>
  <c r="F18" i="326"/>
  <c r="G23" i="326"/>
  <c r="F23" i="326"/>
  <c r="G21" i="326"/>
  <c r="F21" i="326"/>
  <c r="G26" i="326"/>
  <c r="F26" i="326"/>
  <c r="G13" i="326"/>
  <c r="F13" i="326"/>
  <c r="G17" i="326"/>
  <c r="F17" i="326"/>
  <c r="G6" i="183"/>
  <c r="G44" i="318"/>
  <c r="G42" i="318"/>
  <c r="G41" i="318"/>
  <c r="G40" i="318"/>
  <c r="G39" i="318"/>
  <c r="G38" i="318"/>
  <c r="G37" i="318"/>
  <c r="G36" i="318"/>
  <c r="G35" i="318"/>
  <c r="G34" i="318"/>
  <c r="F42" i="318"/>
  <c r="F40" i="318"/>
  <c r="F39" i="318"/>
  <c r="F36" i="318"/>
  <c r="F35" i="318"/>
  <c r="F34" i="318"/>
  <c r="G26" i="318"/>
  <c r="G24" i="318"/>
  <c r="G23" i="318"/>
  <c r="G20" i="318"/>
  <c r="G19" i="318"/>
  <c r="G18" i="318"/>
  <c r="F19" i="318"/>
  <c r="F20" i="318"/>
  <c r="F26" i="318"/>
  <c r="F23" i="318"/>
  <c r="F24" i="318"/>
  <c r="F18" i="318"/>
  <c r="G13" i="318" l="1"/>
  <c r="F13" i="318"/>
  <c r="G11" i="318"/>
  <c r="G10" i="318"/>
  <c r="G9" i="318"/>
  <c r="G8" i="318"/>
  <c r="G7" i="318"/>
  <c r="G32" i="269"/>
  <c r="G37" i="269"/>
  <c r="F37" i="269"/>
  <c r="G33" i="269"/>
  <c r="G12" i="269"/>
  <c r="G9" i="269"/>
  <c r="G56" i="324"/>
  <c r="F56" i="324"/>
  <c r="G223" i="324"/>
  <c r="F223" i="324"/>
  <c r="G53" i="324"/>
  <c r="F53" i="324"/>
  <c r="G129" i="324"/>
  <c r="F129" i="324"/>
  <c r="G66" i="268"/>
  <c r="F66" i="268"/>
  <c r="G61" i="268"/>
  <c r="F61" i="268"/>
  <c r="G49" i="268"/>
  <c r="F49" i="268"/>
  <c r="G55" i="268"/>
  <c r="F55" i="268"/>
  <c r="G59" i="268"/>
  <c r="F59" i="268"/>
  <c r="G62" i="268"/>
  <c r="F62" i="268"/>
  <c r="G58" i="268"/>
  <c r="F58" i="268"/>
  <c r="G21" i="182"/>
  <c r="F21" i="182"/>
  <c r="G20" i="182"/>
  <c r="G17" i="182"/>
  <c r="G15" i="182"/>
  <c r="G14" i="182"/>
  <c r="G13" i="182"/>
  <c r="G12" i="182"/>
  <c r="F12" i="182"/>
  <c r="G11" i="182"/>
  <c r="G10" i="182"/>
  <c r="G9" i="182"/>
  <c r="F9" i="182"/>
  <c r="G8" i="182"/>
  <c r="F8" i="182"/>
  <c r="G6" i="182"/>
  <c r="F6" i="182"/>
  <c r="G34" i="182"/>
  <c r="G33" i="182"/>
  <c r="G31" i="182"/>
  <c r="F31" i="182"/>
  <c r="G30" i="182"/>
  <c r="G27" i="182"/>
  <c r="G128" i="323"/>
  <c r="G54" i="323"/>
  <c r="F54" i="323"/>
  <c r="G280" i="323"/>
  <c r="G279" i="323"/>
  <c r="G110" i="323"/>
  <c r="G278" i="323"/>
  <c r="G277" i="323"/>
  <c r="G109" i="323"/>
  <c r="G108" i="323"/>
  <c r="G276" i="323"/>
  <c r="F276" i="323"/>
  <c r="G275" i="323"/>
  <c r="G274" i="323"/>
  <c r="G266" i="323"/>
  <c r="G265" i="323"/>
  <c r="G264" i="323"/>
  <c r="G263" i="323"/>
  <c r="G84" i="323"/>
  <c r="G252" i="323"/>
  <c r="G247" i="323"/>
  <c r="G246" i="323"/>
  <c r="G245" i="323"/>
  <c r="G244" i="323"/>
  <c r="G243" i="323"/>
  <c r="G75" i="323"/>
  <c r="G74" i="323"/>
  <c r="G242" i="323"/>
  <c r="G234" i="323"/>
  <c r="G64" i="323"/>
  <c r="G232" i="323"/>
  <c r="G231" i="323"/>
  <c r="G230" i="323"/>
  <c r="G57" i="323" l="1"/>
  <c r="G225" i="323"/>
  <c r="G224" i="323"/>
  <c r="G118" i="323"/>
  <c r="F118" i="323"/>
  <c r="G117" i="323"/>
  <c r="F117" i="323"/>
  <c r="G221" i="323"/>
  <c r="G52" i="323"/>
  <c r="G219" i="323"/>
  <c r="G214" i="323" l="1"/>
  <c r="G213" i="323"/>
  <c r="G212" i="323"/>
  <c r="G43" i="323"/>
  <c r="G211" i="323"/>
  <c r="G42" i="323"/>
  <c r="G41" i="323" l="1"/>
  <c r="G209" i="323"/>
  <c r="G208" i="323"/>
  <c r="G200" i="323"/>
  <c r="G31" i="323"/>
  <c r="G199" i="323"/>
  <c r="G198" i="323"/>
  <c r="G197" i="323"/>
  <c r="G192" i="323"/>
  <c r="G189" i="323"/>
  <c r="G188" i="323"/>
  <c r="G187" i="323"/>
  <c r="F187" i="323"/>
  <c r="G186" i="323"/>
  <c r="G182" i="323"/>
  <c r="G181" i="323"/>
  <c r="G180" i="323"/>
  <c r="G178" i="323"/>
  <c r="G177" i="323"/>
  <c r="G176" i="323"/>
  <c r="G175" i="323"/>
  <c r="I12" i="317" l="1"/>
  <c r="I9" i="317"/>
  <c r="E19" i="175"/>
  <c r="D19" i="175"/>
  <c r="C19" i="175"/>
  <c r="E18" i="175"/>
  <c r="D18" i="175"/>
  <c r="C18" i="175"/>
  <c r="E17" i="175"/>
  <c r="D17" i="175"/>
  <c r="C17" i="175"/>
  <c r="E16" i="175"/>
  <c r="D16" i="175"/>
  <c r="C16" i="175"/>
  <c r="E12" i="175"/>
  <c r="D12" i="175"/>
  <c r="C12" i="175"/>
  <c r="E10" i="175"/>
  <c r="D10" i="175"/>
  <c r="C10" i="175"/>
  <c r="E9" i="175"/>
  <c r="D9" i="175"/>
  <c r="C9" i="175"/>
  <c r="E8" i="175"/>
  <c r="D8" i="175"/>
  <c r="C8" i="175"/>
  <c r="E7" i="175"/>
  <c r="D7" i="175"/>
  <c r="C7" i="175"/>
  <c r="E6" i="175"/>
  <c r="D6" i="175"/>
  <c r="C6" i="175"/>
  <c r="G62" i="318" l="1"/>
  <c r="H46" i="317" l="1"/>
  <c r="H37" i="317"/>
  <c r="G15" i="330" l="1"/>
  <c r="G12" i="330"/>
  <c r="H25" i="317" l="1"/>
  <c r="G29" i="325"/>
  <c r="G16" i="242"/>
  <c r="G40" i="326"/>
  <c r="G26" i="242"/>
  <c r="G20" i="317"/>
  <c r="G25" i="317"/>
  <c r="H12" i="317"/>
  <c r="F11" i="318"/>
  <c r="G10" i="269"/>
  <c r="G44" i="323" l="1"/>
  <c r="G30" i="323"/>
  <c r="G29" i="323"/>
  <c r="G191" i="323"/>
  <c r="K62" i="325" l="1"/>
  <c r="K59" i="325"/>
  <c r="K55" i="325"/>
  <c r="K54" i="325"/>
  <c r="K53" i="325"/>
  <c r="D62" i="325"/>
  <c r="D59" i="325"/>
  <c r="D55" i="325"/>
  <c r="G54" i="325"/>
  <c r="D54" i="325"/>
  <c r="D53" i="325"/>
  <c r="K51" i="325"/>
  <c r="D51" i="325"/>
  <c r="K42" i="325"/>
  <c r="K40" i="325"/>
  <c r="K29" i="325"/>
  <c r="D42" i="325"/>
  <c r="D40" i="325"/>
  <c r="D29" i="325"/>
  <c r="K26" i="325"/>
  <c r="K14" i="325"/>
  <c r="K13" i="325"/>
  <c r="K10" i="325"/>
  <c r="K9" i="325"/>
  <c r="D26" i="325"/>
  <c r="D14" i="325"/>
  <c r="D13" i="325"/>
  <c r="G10" i="325"/>
  <c r="D10" i="325"/>
  <c r="D9" i="325"/>
  <c r="K40" i="326"/>
  <c r="K34" i="326"/>
  <c r="K32" i="326"/>
  <c r="D40" i="326"/>
  <c r="D34" i="326"/>
  <c r="D32" i="326"/>
  <c r="K26" i="326"/>
  <c r="K23" i="326"/>
  <c r="K21" i="326"/>
  <c r="K18" i="326"/>
  <c r="K17" i="326"/>
  <c r="K15" i="326" s="1"/>
  <c r="K14" i="326"/>
  <c r="K13" i="326"/>
  <c r="K9" i="326"/>
  <c r="D26" i="326"/>
  <c r="D23" i="326"/>
  <c r="D21" i="326"/>
  <c r="D18" i="326"/>
  <c r="D17" i="326"/>
  <c r="D14" i="326"/>
  <c r="D13" i="326"/>
  <c r="D9" i="326"/>
  <c r="G59" i="242"/>
  <c r="D59" i="242"/>
  <c r="K26" i="242"/>
  <c r="D26" i="242"/>
  <c r="K21" i="242"/>
  <c r="D21" i="242"/>
  <c r="K17" i="242"/>
  <c r="K16" i="242"/>
  <c r="K9" i="242"/>
  <c r="G17" i="242"/>
  <c r="D17" i="242"/>
  <c r="D16" i="242"/>
  <c r="D9" i="242"/>
  <c r="O50" i="317"/>
  <c r="C50" i="317"/>
  <c r="Q46" i="317"/>
  <c r="P46" i="317"/>
  <c r="O46" i="317"/>
  <c r="G46" i="317"/>
  <c r="F46" i="317"/>
  <c r="E46" i="317"/>
  <c r="D46" i="317"/>
  <c r="C46" i="317"/>
  <c r="F45" i="317"/>
  <c r="E45" i="317"/>
  <c r="F43" i="317"/>
  <c r="E43" i="317"/>
  <c r="C43" i="317"/>
  <c r="E40" i="317"/>
  <c r="C40" i="317"/>
  <c r="E39" i="317"/>
  <c r="G38" i="317"/>
  <c r="F38" i="317"/>
  <c r="D38" i="317"/>
  <c r="C38" i="317"/>
  <c r="G37" i="317"/>
  <c r="F37" i="317"/>
  <c r="E37" i="317"/>
  <c r="D37" i="317"/>
  <c r="C37" i="317"/>
  <c r="Q25" i="317"/>
  <c r="P25" i="317"/>
  <c r="O25" i="317"/>
  <c r="D25" i="317"/>
  <c r="C25" i="317"/>
  <c r="Q12" i="317"/>
  <c r="P12" i="317"/>
  <c r="E21" i="317"/>
  <c r="C21" i="317"/>
  <c r="F20" i="317"/>
  <c r="D20" i="317"/>
  <c r="C20" i="317"/>
  <c r="G12" i="317"/>
  <c r="F12" i="317"/>
  <c r="E12" i="317"/>
  <c r="D12" i="317"/>
  <c r="C12" i="317"/>
  <c r="E11" i="317"/>
  <c r="D11" i="317"/>
  <c r="E10" i="317"/>
  <c r="D10" i="317"/>
  <c r="E9" i="317"/>
  <c r="D9" i="317"/>
  <c r="C9" i="317"/>
  <c r="E8" i="317"/>
  <c r="D8" i="317"/>
  <c r="C8" i="317"/>
  <c r="K87" i="318"/>
  <c r="D87" i="318"/>
  <c r="K44" i="318"/>
  <c r="K42" i="318"/>
  <c r="K40" i="318"/>
  <c r="K39" i="318"/>
  <c r="K38" i="318"/>
  <c r="K36" i="318"/>
  <c r="K35" i="318"/>
  <c r="K34" i="318"/>
  <c r="D44" i="318"/>
  <c r="D42" i="318"/>
  <c r="D40" i="318"/>
  <c r="D39" i="318"/>
  <c r="D38" i="318"/>
  <c r="D36" i="318"/>
  <c r="D35" i="318"/>
  <c r="D34" i="318"/>
  <c r="K28" i="318"/>
  <c r="K26" i="318"/>
  <c r="K24" i="318"/>
  <c r="K23" i="318"/>
  <c r="K22" i="318"/>
  <c r="K20" i="318"/>
  <c r="K19" i="318"/>
  <c r="K18" i="318"/>
  <c r="K13" i="318"/>
  <c r="K11" i="318"/>
  <c r="K10" i="318"/>
  <c r="K9" i="318"/>
  <c r="K8" i="318"/>
  <c r="K7" i="318"/>
  <c r="D28" i="318"/>
  <c r="D26" i="318"/>
  <c r="D24" i="318"/>
  <c r="D23" i="318"/>
  <c r="D22" i="318"/>
  <c r="D20" i="318"/>
  <c r="D19" i="318"/>
  <c r="D18" i="318"/>
  <c r="D13" i="318"/>
  <c r="D11" i="318"/>
  <c r="D10" i="318"/>
  <c r="D9" i="318"/>
  <c r="D8" i="318"/>
  <c r="D7" i="318"/>
  <c r="G47" i="270"/>
  <c r="K37" i="269"/>
  <c r="H37" i="269"/>
  <c r="D37" i="269"/>
  <c r="D51" i="270"/>
  <c r="G42" i="270"/>
  <c r="G12" i="270"/>
  <c r="G11" i="270"/>
  <c r="G10" i="270"/>
  <c r="J11" i="238"/>
  <c r="J10" i="238"/>
  <c r="J9" i="238"/>
  <c r="J8" i="238"/>
  <c r="J7" i="238"/>
  <c r="J6" i="238"/>
  <c r="J5" i="238"/>
  <c r="E20" i="175"/>
  <c r="D20" i="175"/>
  <c r="H41" i="174"/>
  <c r="K15" i="177"/>
  <c r="K13" i="177"/>
  <c r="K16" i="177" s="1"/>
  <c r="K10" i="177"/>
  <c r="K9" i="177"/>
  <c r="K8" i="177"/>
  <c r="D15" i="177"/>
  <c r="D13" i="177"/>
  <c r="D10" i="177"/>
  <c r="D9" i="177"/>
  <c r="D8" i="177"/>
  <c r="K298" i="324"/>
  <c r="H298" i="324"/>
  <c r="G298" i="324"/>
  <c r="D298" i="324"/>
  <c r="K280" i="324"/>
  <c r="H280" i="324"/>
  <c r="G280" i="324"/>
  <c r="D280" i="324"/>
  <c r="K223" i="324"/>
  <c r="H223" i="324"/>
  <c r="D223" i="324"/>
  <c r="K129" i="324"/>
  <c r="H129" i="324"/>
  <c r="D129" i="324"/>
  <c r="K56" i="324"/>
  <c r="K53" i="324"/>
  <c r="H56" i="324"/>
  <c r="D56" i="324"/>
  <c r="H53" i="324"/>
  <c r="D53" i="324"/>
  <c r="K73" i="268"/>
  <c r="K72" i="268"/>
  <c r="K66" i="268"/>
  <c r="K62" i="268"/>
  <c r="K61" i="268"/>
  <c r="K60" i="268"/>
  <c r="K59" i="268"/>
  <c r="K58" i="268"/>
  <c r="K55" i="268"/>
  <c r="K54" i="268"/>
  <c r="K49" i="268"/>
  <c r="K48" i="268"/>
  <c r="H73" i="268"/>
  <c r="D73" i="268"/>
  <c r="H72" i="268"/>
  <c r="G72" i="268"/>
  <c r="D72" i="268"/>
  <c r="H66" i="268"/>
  <c r="D66" i="268"/>
  <c r="H62" i="268"/>
  <c r="D62" i="268"/>
  <c r="H61" i="268"/>
  <c r="D61" i="268"/>
  <c r="H60" i="268"/>
  <c r="D60" i="268"/>
  <c r="H59" i="268"/>
  <c r="D59" i="268"/>
  <c r="H58" i="268"/>
  <c r="D58" i="268"/>
  <c r="H55" i="268"/>
  <c r="D55" i="268"/>
  <c r="H54" i="268"/>
  <c r="G54" i="268"/>
  <c r="D54" i="268"/>
  <c r="H49" i="268"/>
  <c r="D49" i="268"/>
  <c r="H48" i="268"/>
  <c r="D48" i="268"/>
  <c r="K35" i="182"/>
  <c r="K31" i="182"/>
  <c r="K27" i="182"/>
  <c r="K26" i="182"/>
  <c r="H35" i="182"/>
  <c r="D35" i="182"/>
  <c r="H31" i="182"/>
  <c r="D31" i="182"/>
  <c r="H27" i="182"/>
  <c r="D27" i="182"/>
  <c r="H26" i="182"/>
  <c r="D26" i="182"/>
  <c r="K20" i="182"/>
  <c r="K12" i="182"/>
  <c r="H20" i="182"/>
  <c r="D20" i="182"/>
  <c r="H12" i="182"/>
  <c r="D12" i="182"/>
  <c r="J340" i="323"/>
  <c r="I340" i="323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K328" i="323"/>
  <c r="H328" i="323"/>
  <c r="G328" i="323"/>
  <c r="I328" i="323" s="1"/>
  <c r="J328" i="323" s="1"/>
  <c r="F328" i="323"/>
  <c r="E328" i="323"/>
  <c r="D328" i="323"/>
  <c r="C328" i="323"/>
  <c r="J327" i="323"/>
  <c r="I327" i="323"/>
  <c r="J326" i="323"/>
  <c r="I326" i="323"/>
  <c r="J325" i="323"/>
  <c r="I325" i="323"/>
  <c r="J324" i="323"/>
  <c r="I324" i="323"/>
  <c r="J323" i="323"/>
  <c r="I323" i="323"/>
  <c r="J322" i="323"/>
  <c r="I322" i="323"/>
  <c r="J321" i="323"/>
  <c r="I321" i="323"/>
  <c r="J320" i="323"/>
  <c r="I320" i="323"/>
  <c r="J319" i="323"/>
  <c r="I319" i="323"/>
  <c r="J318" i="323"/>
  <c r="I318" i="323"/>
  <c r="K317" i="323"/>
  <c r="H317" i="323"/>
  <c r="G317" i="323"/>
  <c r="I317" i="323" s="1"/>
  <c r="J317" i="323" s="1"/>
  <c r="F317" i="323"/>
  <c r="E317" i="323"/>
  <c r="D317" i="323"/>
  <c r="C317" i="323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K306" i="323"/>
  <c r="H306" i="323"/>
  <c r="G306" i="323"/>
  <c r="I306" i="323" s="1"/>
  <c r="J306" i="323" s="1"/>
  <c r="F306" i="323"/>
  <c r="E306" i="323"/>
  <c r="D306" i="323"/>
  <c r="C306" i="323"/>
  <c r="J305" i="323"/>
  <c r="I305" i="323"/>
  <c r="J304" i="323"/>
  <c r="I304" i="323"/>
  <c r="J303" i="323"/>
  <c r="I303" i="323"/>
  <c r="J302" i="323"/>
  <c r="I302" i="323"/>
  <c r="J301" i="323"/>
  <c r="I301" i="323"/>
  <c r="J300" i="323"/>
  <c r="I300" i="323"/>
  <c r="J299" i="323"/>
  <c r="I299" i="323"/>
  <c r="J298" i="323"/>
  <c r="I298" i="323"/>
  <c r="J297" i="323"/>
  <c r="I297" i="323"/>
  <c r="I296" i="323"/>
  <c r="J296" i="323" s="1"/>
  <c r="K295" i="323"/>
  <c r="H295" i="323"/>
  <c r="F295" i="323"/>
  <c r="E295" i="323"/>
  <c r="D295" i="323"/>
  <c r="C295" i="323"/>
  <c r="J294" i="323"/>
  <c r="I294" i="323"/>
  <c r="J293" i="323"/>
  <c r="I293" i="323"/>
  <c r="J292" i="323"/>
  <c r="I292" i="323"/>
  <c r="J291" i="323"/>
  <c r="I291" i="323"/>
  <c r="J290" i="323"/>
  <c r="I290" i="323"/>
  <c r="J289" i="323"/>
  <c r="I289" i="323"/>
  <c r="J288" i="323"/>
  <c r="I288" i="323"/>
  <c r="J287" i="323"/>
  <c r="I287" i="323"/>
  <c r="J286" i="323"/>
  <c r="I286" i="323"/>
  <c r="J285" i="323"/>
  <c r="I285" i="323"/>
  <c r="K284" i="323"/>
  <c r="H284" i="323"/>
  <c r="G284" i="323"/>
  <c r="I284" i="323" s="1"/>
  <c r="J284" i="323" s="1"/>
  <c r="F284" i="323"/>
  <c r="E284" i="323"/>
  <c r="D284" i="323"/>
  <c r="C284" i="323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F273" i="323"/>
  <c r="I275" i="323"/>
  <c r="J275" i="323" s="1"/>
  <c r="I274" i="323"/>
  <c r="J274" i="323" s="1"/>
  <c r="K273" i="323"/>
  <c r="H273" i="323"/>
  <c r="G273" i="323"/>
  <c r="I273" i="323" s="1"/>
  <c r="J273" i="323" s="1"/>
  <c r="E273" i="323"/>
  <c r="D273" i="323"/>
  <c r="C273" i="323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K262" i="323"/>
  <c r="H262" i="323"/>
  <c r="G262" i="323"/>
  <c r="I262" i="323" s="1"/>
  <c r="J262" i="323" s="1"/>
  <c r="F262" i="323"/>
  <c r="E262" i="323"/>
  <c r="D262" i="323"/>
  <c r="C262" i="323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K251" i="323"/>
  <c r="H251" i="323"/>
  <c r="G251" i="323"/>
  <c r="I251" i="323" s="1"/>
  <c r="J251" i="323" s="1"/>
  <c r="F251" i="323"/>
  <c r="E251" i="323"/>
  <c r="D251" i="323"/>
  <c r="C251" i="323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1" i="323"/>
  <c r="J241" i="323" s="1"/>
  <c r="K240" i="323"/>
  <c r="H240" i="323"/>
  <c r="F240" i="323"/>
  <c r="E240" i="323"/>
  <c r="D240" i="323"/>
  <c r="C240" i="323"/>
  <c r="J239" i="323"/>
  <c r="I239" i="323"/>
  <c r="J238" i="323"/>
  <c r="I238" i="323"/>
  <c r="J237" i="323"/>
  <c r="I237" i="323"/>
  <c r="J236" i="323"/>
  <c r="I236" i="323"/>
  <c r="J235" i="323"/>
  <c r="I235" i="323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K229" i="323"/>
  <c r="H229" i="323"/>
  <c r="G229" i="323"/>
  <c r="I229" i="323" s="1"/>
  <c r="J229" i="323" s="1"/>
  <c r="F229" i="323"/>
  <c r="E229" i="323"/>
  <c r="D229" i="323"/>
  <c r="C229" i="323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K218" i="323"/>
  <c r="H218" i="323"/>
  <c r="G218" i="323"/>
  <c r="I218" i="323" s="1"/>
  <c r="J218" i="323" s="1"/>
  <c r="F218" i="323"/>
  <c r="E218" i="323"/>
  <c r="D218" i="323"/>
  <c r="C218" i="323"/>
  <c r="I217" i="323"/>
  <c r="J217" i="323" s="1"/>
  <c r="I216" i="323"/>
  <c r="J216" i="323" s="1"/>
  <c r="I215" i="323"/>
  <c r="J215" i="323" s="1"/>
  <c r="G215" i="323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K207" i="323"/>
  <c r="H207" i="323"/>
  <c r="F207" i="323"/>
  <c r="E207" i="323"/>
  <c r="D207" i="323"/>
  <c r="C207" i="323"/>
  <c r="J206" i="323"/>
  <c r="I206" i="323"/>
  <c r="J205" i="323"/>
  <c r="I205" i="323"/>
  <c r="J204" i="323"/>
  <c r="I204" i="323"/>
  <c r="J203" i="323"/>
  <c r="I203" i="323"/>
  <c r="J202" i="323"/>
  <c r="I202" i="323"/>
  <c r="J201" i="323"/>
  <c r="I201" i="323"/>
  <c r="I200" i="323"/>
  <c r="J200" i="323" s="1"/>
  <c r="I199" i="323"/>
  <c r="J199" i="323" s="1"/>
  <c r="I198" i="323"/>
  <c r="J198" i="323" s="1"/>
  <c r="I197" i="323"/>
  <c r="J197" i="323" s="1"/>
  <c r="K196" i="323"/>
  <c r="H196" i="323"/>
  <c r="G196" i="323"/>
  <c r="I196" i="323" s="1"/>
  <c r="J196" i="323" s="1"/>
  <c r="F196" i="323"/>
  <c r="E196" i="323"/>
  <c r="D196" i="323"/>
  <c r="C196" i="323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 s="1"/>
  <c r="I187" i="323"/>
  <c r="J187" i="323" s="1"/>
  <c r="I186" i="323"/>
  <c r="J186" i="323" s="1"/>
  <c r="K185" i="323"/>
  <c r="H185" i="323"/>
  <c r="F185" i="323"/>
  <c r="E185" i="323"/>
  <c r="D185" i="323"/>
  <c r="C185" i="323"/>
  <c r="J184" i="323"/>
  <c r="I184" i="323"/>
  <c r="J183" i="323"/>
  <c r="I183" i="323"/>
  <c r="I182" i="323"/>
  <c r="J182" i="323" s="1"/>
  <c r="I181" i="323"/>
  <c r="J181" i="323" s="1"/>
  <c r="I180" i="323"/>
  <c r="J180" i="323" s="1"/>
  <c r="I179" i="323"/>
  <c r="J179" i="323" s="1"/>
  <c r="I178" i="323"/>
  <c r="J178" i="323" s="1"/>
  <c r="I177" i="323"/>
  <c r="J177" i="323" s="1"/>
  <c r="I176" i="323"/>
  <c r="J176" i="323" s="1"/>
  <c r="I175" i="323"/>
  <c r="J175" i="323" s="1"/>
  <c r="K174" i="323"/>
  <c r="H174" i="323"/>
  <c r="H339" i="323" s="1"/>
  <c r="F174" i="323"/>
  <c r="E174" i="323"/>
  <c r="E339" i="323" s="1"/>
  <c r="D174" i="323"/>
  <c r="D339" i="323" s="1"/>
  <c r="C174" i="323"/>
  <c r="C339" i="323" s="1"/>
  <c r="J173" i="323"/>
  <c r="I173" i="323"/>
  <c r="J172" i="323"/>
  <c r="I172" i="323"/>
  <c r="I170" i="323"/>
  <c r="J170" i="323" s="1"/>
  <c r="I169" i="323"/>
  <c r="J169" i="323" s="1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K160" i="323"/>
  <c r="H160" i="323"/>
  <c r="G160" i="323"/>
  <c r="I160" i="323" s="1"/>
  <c r="J160" i="323" s="1"/>
  <c r="F160" i="323"/>
  <c r="E160" i="323"/>
  <c r="D160" i="323"/>
  <c r="C160" i="323"/>
  <c r="J159" i="323"/>
  <c r="I159" i="323"/>
  <c r="J158" i="323"/>
  <c r="I158" i="323"/>
  <c r="J157" i="323"/>
  <c r="I157" i="323"/>
  <c r="J156" i="323"/>
  <c r="I156" i="323"/>
  <c r="J155" i="323"/>
  <c r="I155" i="323"/>
  <c r="J154" i="323"/>
  <c r="I154" i="323"/>
  <c r="J153" i="323"/>
  <c r="I153" i="323"/>
  <c r="J152" i="323"/>
  <c r="I152" i="323"/>
  <c r="J151" i="323"/>
  <c r="I151" i="323"/>
  <c r="J150" i="323"/>
  <c r="I150" i="323"/>
  <c r="K149" i="323"/>
  <c r="H149" i="323"/>
  <c r="G149" i="323"/>
  <c r="I149" i="323" s="1"/>
  <c r="J149" i="323" s="1"/>
  <c r="F149" i="323"/>
  <c r="E149" i="323"/>
  <c r="D149" i="323"/>
  <c r="C149" i="323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K138" i="323"/>
  <c r="H138" i="323"/>
  <c r="G138" i="323"/>
  <c r="I138" i="323" s="1"/>
  <c r="J138" i="323" s="1"/>
  <c r="F138" i="323"/>
  <c r="E138" i="323"/>
  <c r="D138" i="323"/>
  <c r="C138" i="323"/>
  <c r="J137" i="323"/>
  <c r="I137" i="323"/>
  <c r="J136" i="323"/>
  <c r="I136" i="323"/>
  <c r="J135" i="323"/>
  <c r="I135" i="323"/>
  <c r="J134" i="323"/>
  <c r="I134" i="323"/>
  <c r="J133" i="323"/>
  <c r="I133" i="323"/>
  <c r="J132" i="323"/>
  <c r="I132" i="323"/>
  <c r="J131" i="323"/>
  <c r="I131" i="323"/>
  <c r="J130" i="323"/>
  <c r="I130" i="323"/>
  <c r="J129" i="323"/>
  <c r="I129" i="323"/>
  <c r="I128" i="323"/>
  <c r="J128" i="323" s="1"/>
  <c r="K127" i="323"/>
  <c r="H127" i="323"/>
  <c r="G127" i="323"/>
  <c r="I127" i="323" s="1"/>
  <c r="J127" i="323" s="1"/>
  <c r="F127" i="323"/>
  <c r="E127" i="323"/>
  <c r="D127" i="323"/>
  <c r="C127" i="323"/>
  <c r="I126" i="323"/>
  <c r="J126" i="323" s="1"/>
  <c r="I125" i="323"/>
  <c r="J125" i="323" s="1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K116" i="323"/>
  <c r="H116" i="323"/>
  <c r="G116" i="323"/>
  <c r="I116" i="323" s="1"/>
  <c r="J116" i="323" s="1"/>
  <c r="F116" i="323"/>
  <c r="E116" i="323"/>
  <c r="D116" i="323"/>
  <c r="C116" i="323"/>
  <c r="J115" i="323"/>
  <c r="I115" i="323"/>
  <c r="J114" i="323"/>
  <c r="I114" i="323"/>
  <c r="J113" i="323"/>
  <c r="I113" i="323"/>
  <c r="J112" i="323"/>
  <c r="I112" i="323"/>
  <c r="J111" i="323"/>
  <c r="I111" i="323"/>
  <c r="I110" i="323"/>
  <c r="J110" i="323" s="1"/>
  <c r="I109" i="323"/>
  <c r="J109" i="323" s="1"/>
  <c r="I108" i="323"/>
  <c r="J108" i="323" s="1"/>
  <c r="I107" i="323"/>
  <c r="J107" i="323" s="1"/>
  <c r="I106" i="323"/>
  <c r="J106" i="323" s="1"/>
  <c r="K105" i="323"/>
  <c r="H105" i="323"/>
  <c r="F105" i="323"/>
  <c r="E105" i="323"/>
  <c r="D105" i="323"/>
  <c r="C105" i="323"/>
  <c r="J104" i="323"/>
  <c r="I104" i="323"/>
  <c r="J103" i="323"/>
  <c r="I103" i="323"/>
  <c r="J102" i="323"/>
  <c r="I102" i="323"/>
  <c r="J101" i="323"/>
  <c r="I101" i="323"/>
  <c r="J100" i="323"/>
  <c r="I100" i="323"/>
  <c r="J99" i="323"/>
  <c r="I99" i="323"/>
  <c r="J98" i="323"/>
  <c r="I98" i="323"/>
  <c r="J97" i="323"/>
  <c r="I97" i="323"/>
  <c r="J96" i="323"/>
  <c r="I96" i="323"/>
  <c r="J95" i="323"/>
  <c r="I95" i="323"/>
  <c r="K94" i="323"/>
  <c r="H94" i="323"/>
  <c r="G94" i="323"/>
  <c r="I94" i="323" s="1"/>
  <c r="J94" i="323" s="1"/>
  <c r="F94" i="323"/>
  <c r="E94" i="323"/>
  <c r="D94" i="323"/>
  <c r="C94" i="323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 s="1"/>
  <c r="I87" i="323"/>
  <c r="J87" i="323" s="1"/>
  <c r="I86" i="323"/>
  <c r="J86" i="323" s="1"/>
  <c r="I85" i="323"/>
  <c r="J85" i="323" s="1"/>
  <c r="I84" i="323"/>
  <c r="J84" i="323" s="1"/>
  <c r="K83" i="323"/>
  <c r="H83" i="323"/>
  <c r="G83" i="323"/>
  <c r="I83" i="323" s="1"/>
  <c r="J83" i="323" s="1"/>
  <c r="F83" i="323"/>
  <c r="E83" i="323"/>
  <c r="D83" i="323"/>
  <c r="C83" i="323"/>
  <c r="I82" i="323"/>
  <c r="J82" i="323" s="1"/>
  <c r="I81" i="323"/>
  <c r="J81" i="323" s="1"/>
  <c r="I80" i="323"/>
  <c r="J80" i="323" s="1"/>
  <c r="I79" i="323"/>
  <c r="J79" i="323" s="1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 s="1"/>
  <c r="K72" i="323"/>
  <c r="H72" i="323"/>
  <c r="F72" i="323"/>
  <c r="E72" i="323"/>
  <c r="D72" i="323"/>
  <c r="C72" i="323"/>
  <c r="J71" i="323"/>
  <c r="I71" i="323"/>
  <c r="J70" i="323"/>
  <c r="I70" i="323"/>
  <c r="J69" i="323"/>
  <c r="I69" i="323"/>
  <c r="J68" i="323"/>
  <c r="I68" i="323"/>
  <c r="J67" i="323"/>
  <c r="I67" i="323"/>
  <c r="J66" i="323"/>
  <c r="I66" i="323"/>
  <c r="J65" i="323"/>
  <c r="I65" i="323"/>
  <c r="I64" i="323"/>
  <c r="J64" i="323" s="1"/>
  <c r="J63" i="323"/>
  <c r="I63" i="323"/>
  <c r="J62" i="323"/>
  <c r="I62" i="323"/>
  <c r="K61" i="323"/>
  <c r="H61" i="323"/>
  <c r="G61" i="323"/>
  <c r="I61" i="323" s="1"/>
  <c r="J61" i="323" s="1"/>
  <c r="F61" i="323"/>
  <c r="E61" i="323"/>
  <c r="D61" i="323"/>
  <c r="C61" i="323"/>
  <c r="I60" i="323"/>
  <c r="J60" i="323" s="1"/>
  <c r="I59" i="323"/>
  <c r="J59" i="323" s="1"/>
  <c r="I58" i="323"/>
  <c r="J58" i="323" s="1"/>
  <c r="I57" i="323"/>
  <c r="J57" i="323" s="1"/>
  <c r="J56" i="323"/>
  <c r="I56" i="323"/>
  <c r="J55" i="323"/>
  <c r="I55" i="323"/>
  <c r="I54" i="323"/>
  <c r="J54" i="323" s="1"/>
  <c r="J53" i="323"/>
  <c r="I53" i="323"/>
  <c r="I52" i="323"/>
  <c r="J52" i="323" s="1"/>
  <c r="J51" i="323"/>
  <c r="I51" i="323"/>
  <c r="K50" i="323"/>
  <c r="H50" i="323"/>
  <c r="G50" i="323"/>
  <c r="I50" i="323" s="1"/>
  <c r="J50" i="323" s="1"/>
  <c r="F50" i="323"/>
  <c r="E50" i="323"/>
  <c r="D50" i="323"/>
  <c r="C50" i="323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F39" i="323"/>
  <c r="I42" i="323"/>
  <c r="J42" i="323" s="1"/>
  <c r="I41" i="323"/>
  <c r="J41" i="323" s="1"/>
  <c r="J40" i="323"/>
  <c r="I40" i="323"/>
  <c r="K39" i="323"/>
  <c r="H39" i="323"/>
  <c r="G39" i="323"/>
  <c r="I39" i="323" s="1"/>
  <c r="J39" i="323" s="1"/>
  <c r="E39" i="323"/>
  <c r="D39" i="323"/>
  <c r="C39" i="323"/>
  <c r="I38" i="323"/>
  <c r="J38" i="323" s="1"/>
  <c r="I37" i="323"/>
  <c r="J37" i="323" s="1"/>
  <c r="I36" i="323"/>
  <c r="J36" i="323" s="1"/>
  <c r="I35" i="323"/>
  <c r="J35" i="323" s="1"/>
  <c r="I34" i="323"/>
  <c r="J34" i="323" s="1"/>
  <c r="I33" i="323"/>
  <c r="J33" i="323" s="1"/>
  <c r="I32" i="323"/>
  <c r="J32" i="323" s="1"/>
  <c r="I31" i="323"/>
  <c r="J31" i="323" s="1"/>
  <c r="I30" i="323"/>
  <c r="J30" i="323" s="1"/>
  <c r="K28" i="323"/>
  <c r="H28" i="323"/>
  <c r="F28" i="323"/>
  <c r="E28" i="323"/>
  <c r="D28" i="323"/>
  <c r="C28" i="323"/>
  <c r="J27" i="323"/>
  <c r="I27" i="323"/>
  <c r="J26" i="323"/>
  <c r="I26" i="323"/>
  <c r="J25" i="323"/>
  <c r="I25" i="323"/>
  <c r="J24" i="323"/>
  <c r="I24" i="323"/>
  <c r="J23" i="323"/>
  <c r="I23" i="323"/>
  <c r="J22" i="323"/>
  <c r="I22" i="323"/>
  <c r="J21" i="323"/>
  <c r="I21" i="323"/>
  <c r="J20" i="323"/>
  <c r="I20" i="323"/>
  <c r="J19" i="323"/>
  <c r="I19" i="323"/>
  <c r="J18" i="323"/>
  <c r="I18" i="323"/>
  <c r="K17" i="323"/>
  <c r="H17" i="323"/>
  <c r="G17" i="323"/>
  <c r="I17" i="323" s="1"/>
  <c r="J17" i="323" s="1"/>
  <c r="F17" i="323"/>
  <c r="E17" i="323"/>
  <c r="D17" i="323"/>
  <c r="C17" i="323"/>
  <c r="I16" i="323"/>
  <c r="J16" i="323" s="1"/>
  <c r="I15" i="323"/>
  <c r="J15" i="323" s="1"/>
  <c r="I14" i="323"/>
  <c r="J14" i="323" s="1"/>
  <c r="I13" i="323"/>
  <c r="J13" i="323" s="1"/>
  <c r="I12" i="323"/>
  <c r="J12" i="323" s="1"/>
  <c r="I11" i="323"/>
  <c r="J11" i="323" s="1"/>
  <c r="I10" i="323"/>
  <c r="J10" i="323" s="1"/>
  <c r="I9" i="323"/>
  <c r="J9" i="323" s="1"/>
  <c r="I8" i="323"/>
  <c r="J8" i="323" s="1"/>
  <c r="I7" i="323"/>
  <c r="J7" i="323" s="1"/>
  <c r="K6" i="323"/>
  <c r="K171" i="323" s="1"/>
  <c r="H6" i="323"/>
  <c r="H171" i="323" s="1"/>
  <c r="H341" i="323" s="1"/>
  <c r="G6" i="323"/>
  <c r="F6" i="323"/>
  <c r="E6" i="323"/>
  <c r="E171" i="323" s="1"/>
  <c r="E341" i="323" s="1"/>
  <c r="D6" i="323"/>
  <c r="D171" i="323" s="1"/>
  <c r="D341" i="323" s="1"/>
  <c r="C6" i="323"/>
  <c r="C171" i="323" s="1"/>
  <c r="C341" i="323" s="1"/>
  <c r="I140" i="330"/>
  <c r="J140" i="330" s="1"/>
  <c r="I139" i="330"/>
  <c r="J139" i="330" s="1"/>
  <c r="I138" i="330"/>
  <c r="J138" i="330" s="1"/>
  <c r="J137" i="330"/>
  <c r="I137" i="330"/>
  <c r="J136" i="330"/>
  <c r="I136" i="330"/>
  <c r="K135" i="330"/>
  <c r="H135" i="330"/>
  <c r="G135" i="330"/>
  <c r="I135" i="330" s="1"/>
  <c r="J135" i="330" s="1"/>
  <c r="F135" i="330"/>
  <c r="E135" i="330"/>
  <c r="D135" i="330"/>
  <c r="C135" i="330"/>
  <c r="I134" i="330"/>
  <c r="J134" i="330" s="1"/>
  <c r="K133" i="330"/>
  <c r="H133" i="330"/>
  <c r="G133" i="330"/>
  <c r="I133" i="330" s="1"/>
  <c r="J133" i="330" s="1"/>
  <c r="F133" i="330"/>
  <c r="E133" i="330"/>
  <c r="D133" i="330"/>
  <c r="C133" i="330"/>
  <c r="I132" i="330"/>
  <c r="J132" i="330" s="1"/>
  <c r="I131" i="330"/>
  <c r="J131" i="330" s="1"/>
  <c r="I130" i="330"/>
  <c r="J130" i="330" s="1"/>
  <c r="K129" i="330"/>
  <c r="H129" i="330"/>
  <c r="G129" i="330"/>
  <c r="I129" i="330" s="1"/>
  <c r="J129" i="330" s="1"/>
  <c r="F129" i="330"/>
  <c r="E129" i="330"/>
  <c r="D129" i="330"/>
  <c r="C129" i="330"/>
  <c r="J128" i="330"/>
  <c r="I128" i="330"/>
  <c r="I127" i="330"/>
  <c r="J127" i="330" s="1"/>
  <c r="K126" i="330"/>
  <c r="H126" i="330"/>
  <c r="F126" i="330"/>
  <c r="E126" i="330"/>
  <c r="D126" i="330"/>
  <c r="C126" i="330"/>
  <c r="J125" i="330"/>
  <c r="I125" i="330"/>
  <c r="I124" i="330"/>
  <c r="J124" i="330" s="1"/>
  <c r="K123" i="330"/>
  <c r="K122" i="330" s="1"/>
  <c r="H123" i="330"/>
  <c r="G123" i="330"/>
  <c r="F123" i="330"/>
  <c r="E123" i="330"/>
  <c r="E122" i="330" s="1"/>
  <c r="D123" i="330"/>
  <c r="C123" i="330"/>
  <c r="C122" i="330" s="1"/>
  <c r="H122" i="330"/>
  <c r="D122" i="330"/>
  <c r="J121" i="330"/>
  <c r="I121" i="330"/>
  <c r="J120" i="330"/>
  <c r="I120" i="330"/>
  <c r="J119" i="330"/>
  <c r="I119" i="330"/>
  <c r="K118" i="330"/>
  <c r="H118" i="330"/>
  <c r="G118" i="330"/>
  <c r="I118" i="330" s="1"/>
  <c r="J118" i="330" s="1"/>
  <c r="F118" i="330"/>
  <c r="E118" i="330"/>
  <c r="D118" i="330"/>
  <c r="C118" i="330"/>
  <c r="I117" i="330"/>
  <c r="J117" i="330" s="1"/>
  <c r="I116" i="330"/>
  <c r="J116" i="330" s="1"/>
  <c r="J115" i="330"/>
  <c r="I115" i="330"/>
  <c r="J114" i="330"/>
  <c r="I114" i="330"/>
  <c r="G113" i="330"/>
  <c r="I113" i="330" s="1"/>
  <c r="J113" i="330" s="1"/>
  <c r="K112" i="330"/>
  <c r="H112" i="330"/>
  <c r="F112" i="330"/>
  <c r="E112" i="330"/>
  <c r="D112" i="330"/>
  <c r="C112" i="330"/>
  <c r="J111" i="330"/>
  <c r="I111" i="330"/>
  <c r="I110" i="330"/>
  <c r="J110" i="330" s="1"/>
  <c r="I109" i="330"/>
  <c r="J109" i="330" s="1"/>
  <c r="K108" i="330"/>
  <c r="K107" i="330" s="1"/>
  <c r="H108" i="330"/>
  <c r="G108" i="330"/>
  <c r="F108" i="330"/>
  <c r="E108" i="330"/>
  <c r="E107" i="330" s="1"/>
  <c r="D108" i="330"/>
  <c r="C108" i="330"/>
  <c r="C107" i="330" s="1"/>
  <c r="H107" i="330"/>
  <c r="D107" i="330"/>
  <c r="J106" i="330"/>
  <c r="I106" i="330"/>
  <c r="J105" i="330"/>
  <c r="I105" i="330"/>
  <c r="J104" i="330"/>
  <c r="I104" i="330"/>
  <c r="K103" i="330"/>
  <c r="H103" i="330"/>
  <c r="G103" i="330"/>
  <c r="I103" i="330" s="1"/>
  <c r="J103" i="330" s="1"/>
  <c r="F103" i="330"/>
  <c r="E103" i="330"/>
  <c r="D103" i="330"/>
  <c r="C103" i="330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K96" i="330"/>
  <c r="H96" i="330"/>
  <c r="F96" i="330"/>
  <c r="E96" i="330"/>
  <c r="D96" i="330"/>
  <c r="C96" i="330"/>
  <c r="I95" i="330"/>
  <c r="J95" i="330" s="1"/>
  <c r="I94" i="330"/>
  <c r="J94" i="330" s="1"/>
  <c r="I93" i="330"/>
  <c r="J93" i="330" s="1"/>
  <c r="J92" i="330"/>
  <c r="I92" i="330"/>
  <c r="J91" i="330"/>
  <c r="I91" i="330"/>
  <c r="J90" i="330"/>
  <c r="I90" i="330"/>
  <c r="I89" i="330"/>
  <c r="J89" i="330" s="1"/>
  <c r="J88" i="330"/>
  <c r="I88" i="330"/>
  <c r="I87" i="330"/>
  <c r="J87" i="330" s="1"/>
  <c r="K86" i="330"/>
  <c r="K85" i="330" s="1"/>
  <c r="H86" i="330"/>
  <c r="G86" i="330"/>
  <c r="F86" i="330"/>
  <c r="E86" i="330"/>
  <c r="E85" i="330" s="1"/>
  <c r="D86" i="330"/>
  <c r="C86" i="330"/>
  <c r="C85" i="330" s="1"/>
  <c r="H85" i="330"/>
  <c r="D85" i="330"/>
  <c r="I84" i="330"/>
  <c r="J84" i="330" s="1"/>
  <c r="I83" i="330"/>
  <c r="J83" i="330" s="1"/>
  <c r="I82" i="330"/>
  <c r="J82" i="330" s="1"/>
  <c r="I81" i="330"/>
  <c r="J81" i="330" s="1"/>
  <c r="K80" i="330"/>
  <c r="H80" i="330"/>
  <c r="G80" i="330"/>
  <c r="I80" i="330" s="1"/>
  <c r="J80" i="330" s="1"/>
  <c r="F80" i="330"/>
  <c r="E80" i="330"/>
  <c r="D80" i="330"/>
  <c r="C80" i="330"/>
  <c r="I79" i="330"/>
  <c r="J79" i="330" s="1"/>
  <c r="I78" i="330"/>
  <c r="J78" i="330" s="1"/>
  <c r="I77" i="330"/>
  <c r="J77" i="330" s="1"/>
  <c r="K76" i="330"/>
  <c r="K75" i="330" s="1"/>
  <c r="K141" i="330" s="1"/>
  <c r="H76" i="330"/>
  <c r="G76" i="330"/>
  <c r="F76" i="330"/>
  <c r="E76" i="330"/>
  <c r="E75" i="330" s="1"/>
  <c r="E141" i="330" s="1"/>
  <c r="D76" i="330"/>
  <c r="C76" i="330"/>
  <c r="C75" i="330" s="1"/>
  <c r="C141" i="330" s="1"/>
  <c r="H75" i="330"/>
  <c r="H141" i="330" s="1"/>
  <c r="D75" i="330"/>
  <c r="D141" i="330" s="1"/>
  <c r="I71" i="330"/>
  <c r="J71" i="330" s="1"/>
  <c r="I70" i="330"/>
  <c r="J70" i="330" s="1"/>
  <c r="I69" i="330"/>
  <c r="J69" i="330" s="1"/>
  <c r="I68" i="330"/>
  <c r="J68" i="330" s="1"/>
  <c r="J67" i="330"/>
  <c r="I67" i="330"/>
  <c r="K66" i="330"/>
  <c r="H66" i="330"/>
  <c r="G66" i="330"/>
  <c r="I66" i="330" s="1"/>
  <c r="J66" i="330" s="1"/>
  <c r="F66" i="330"/>
  <c r="E66" i="330"/>
  <c r="D66" i="330"/>
  <c r="C66" i="330"/>
  <c r="I65" i="330"/>
  <c r="J65" i="330" s="1"/>
  <c r="K64" i="330"/>
  <c r="H64" i="330"/>
  <c r="G64" i="330"/>
  <c r="I64" i="330" s="1"/>
  <c r="J64" i="330" s="1"/>
  <c r="F64" i="330"/>
  <c r="E64" i="330"/>
  <c r="D64" i="330"/>
  <c r="C64" i="330"/>
  <c r="I63" i="330"/>
  <c r="J63" i="330" s="1"/>
  <c r="I62" i="330"/>
  <c r="J62" i="330" s="1"/>
  <c r="I61" i="330"/>
  <c r="J61" i="330" s="1"/>
  <c r="K60" i="330"/>
  <c r="H60" i="330"/>
  <c r="G60" i="330"/>
  <c r="I60" i="330" s="1"/>
  <c r="J60" i="330" s="1"/>
  <c r="F60" i="330"/>
  <c r="E60" i="330"/>
  <c r="D60" i="330"/>
  <c r="C60" i="330"/>
  <c r="I59" i="330"/>
  <c r="J59" i="330" s="1"/>
  <c r="I58" i="330"/>
  <c r="J58" i="330" s="1"/>
  <c r="K57" i="330"/>
  <c r="H57" i="330"/>
  <c r="G57" i="330"/>
  <c r="I57" i="330" s="1"/>
  <c r="J57" i="330" s="1"/>
  <c r="F57" i="330"/>
  <c r="E57" i="330"/>
  <c r="D57" i="330"/>
  <c r="C57" i="330"/>
  <c r="I56" i="330"/>
  <c r="J56" i="330" s="1"/>
  <c r="I55" i="330"/>
  <c r="J55" i="330" s="1"/>
  <c r="K54" i="330"/>
  <c r="H54" i="330"/>
  <c r="H53" i="330" s="1"/>
  <c r="G54" i="330"/>
  <c r="I54" i="330" s="1"/>
  <c r="F54" i="330"/>
  <c r="E54" i="330"/>
  <c r="D54" i="330"/>
  <c r="D53" i="330" s="1"/>
  <c r="C54" i="330"/>
  <c r="K53" i="330"/>
  <c r="E53" i="330"/>
  <c r="C53" i="330"/>
  <c r="I52" i="330"/>
  <c r="J52" i="330" s="1"/>
  <c r="I51" i="330"/>
  <c r="J51" i="330" s="1"/>
  <c r="I50" i="330"/>
  <c r="J50" i="330" s="1"/>
  <c r="K49" i="330"/>
  <c r="H49" i="330"/>
  <c r="G49" i="330"/>
  <c r="I49" i="330" s="1"/>
  <c r="J49" i="330" s="1"/>
  <c r="F49" i="330"/>
  <c r="E49" i="330"/>
  <c r="D49" i="330"/>
  <c r="C49" i="330"/>
  <c r="J48" i="330"/>
  <c r="I48" i="330"/>
  <c r="J47" i="330"/>
  <c r="I47" i="330"/>
  <c r="J46" i="330"/>
  <c r="I46" i="330"/>
  <c r="J45" i="330"/>
  <c r="I45" i="330"/>
  <c r="J44" i="330"/>
  <c r="I44" i="330"/>
  <c r="K43" i="330"/>
  <c r="H43" i="330"/>
  <c r="G43" i="330"/>
  <c r="I43" i="330" s="1"/>
  <c r="J43" i="330" s="1"/>
  <c r="F43" i="330"/>
  <c r="E43" i="330"/>
  <c r="D43" i="330"/>
  <c r="C43" i="330"/>
  <c r="I42" i="330"/>
  <c r="J42" i="330" s="1"/>
  <c r="I41" i="330"/>
  <c r="J41" i="330" s="1"/>
  <c r="J40" i="330"/>
  <c r="I40" i="330"/>
  <c r="K39" i="330"/>
  <c r="K38" i="330" s="1"/>
  <c r="H39" i="330"/>
  <c r="G39" i="330"/>
  <c r="G38" i="330" s="1"/>
  <c r="I38" i="330" s="1"/>
  <c r="J38" i="330" s="1"/>
  <c r="F39" i="330"/>
  <c r="F38" i="330" s="1"/>
  <c r="E39" i="330"/>
  <c r="E38" i="330" s="1"/>
  <c r="D39" i="330"/>
  <c r="C39" i="330"/>
  <c r="C38" i="330" s="1"/>
  <c r="H38" i="330"/>
  <c r="D38" i="330"/>
  <c r="J37" i="330"/>
  <c r="I37" i="330"/>
  <c r="J36" i="330"/>
  <c r="I36" i="330"/>
  <c r="J35" i="330"/>
  <c r="I35" i="330"/>
  <c r="K34" i="330"/>
  <c r="H34" i="330"/>
  <c r="G34" i="330"/>
  <c r="I34" i="330" s="1"/>
  <c r="J34" i="330" s="1"/>
  <c r="F34" i="330"/>
  <c r="E34" i="330"/>
  <c r="D34" i="330"/>
  <c r="C34" i="330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K27" i="330"/>
  <c r="H27" i="330"/>
  <c r="G27" i="330"/>
  <c r="I27" i="330" s="1"/>
  <c r="J27" i="330" s="1"/>
  <c r="F27" i="330"/>
  <c r="E27" i="330"/>
  <c r="D27" i="330"/>
  <c r="C27" i="330"/>
  <c r="I26" i="330"/>
  <c r="J26" i="330" s="1"/>
  <c r="J25" i="330"/>
  <c r="I25" i="330"/>
  <c r="J24" i="330"/>
  <c r="I24" i="330"/>
  <c r="J23" i="330"/>
  <c r="I23" i="330"/>
  <c r="J22" i="330"/>
  <c r="I22" i="330"/>
  <c r="J21" i="330"/>
  <c r="I21" i="330"/>
  <c r="I20" i="330"/>
  <c r="J20" i="330" s="1"/>
  <c r="J19" i="330"/>
  <c r="I19" i="330"/>
  <c r="I18" i="330"/>
  <c r="J18" i="330" s="1"/>
  <c r="K17" i="330"/>
  <c r="K16" i="330" s="1"/>
  <c r="H17" i="330"/>
  <c r="G17" i="330"/>
  <c r="G16" i="330" s="1"/>
  <c r="I16" i="330" s="1"/>
  <c r="J16" i="330" s="1"/>
  <c r="F17" i="330"/>
  <c r="F16" i="330" s="1"/>
  <c r="E17" i="330"/>
  <c r="E16" i="330" s="1"/>
  <c r="D17" i="330"/>
  <c r="C17" i="330"/>
  <c r="C16" i="330" s="1"/>
  <c r="H16" i="330"/>
  <c r="D16" i="330"/>
  <c r="I15" i="330"/>
  <c r="J15" i="330" s="1"/>
  <c r="I14" i="330"/>
  <c r="J14" i="330" s="1"/>
  <c r="D14" i="330"/>
  <c r="J13" i="330"/>
  <c r="I13" i="330"/>
  <c r="I12" i="330"/>
  <c r="J12" i="330" s="1"/>
  <c r="K11" i="330"/>
  <c r="H11" i="330"/>
  <c r="F11" i="330"/>
  <c r="E11" i="330"/>
  <c r="D11" i="330"/>
  <c r="C11" i="330"/>
  <c r="I10" i="330"/>
  <c r="J10" i="330" s="1"/>
  <c r="D10" i="330"/>
  <c r="J9" i="330"/>
  <c r="I9" i="330"/>
  <c r="J8" i="330"/>
  <c r="I8" i="330"/>
  <c r="K7" i="330"/>
  <c r="K6" i="330" s="1"/>
  <c r="H7" i="330"/>
  <c r="G7" i="330"/>
  <c r="F7" i="330"/>
  <c r="E7" i="330"/>
  <c r="E6" i="330" s="1"/>
  <c r="D7" i="330"/>
  <c r="C7" i="330"/>
  <c r="C6" i="330" s="1"/>
  <c r="H6" i="330"/>
  <c r="F6" i="330"/>
  <c r="D6" i="330"/>
  <c r="J10" i="267"/>
  <c r="G10" i="267"/>
  <c r="F10" i="267"/>
  <c r="E10" i="267"/>
  <c r="D10" i="267"/>
  <c r="C10" i="267"/>
  <c r="H10" i="267"/>
  <c r="A10" i="269"/>
  <c r="A11" i="269"/>
  <c r="A12" i="269"/>
  <c r="A13" i="269"/>
  <c r="A14" i="269"/>
  <c r="B81" i="100"/>
  <c r="G8" i="267"/>
  <c r="F8" i="267"/>
  <c r="H8" i="267" s="1"/>
  <c r="I8" i="267" s="1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 s="1"/>
  <c r="I76" i="318"/>
  <c r="J76" i="318" s="1"/>
  <c r="I75" i="318"/>
  <c r="J75" i="318" s="1"/>
  <c r="I63" i="318"/>
  <c r="J63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 s="1"/>
  <c r="I24" i="318"/>
  <c r="J24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/>
  <c r="I81" i="333"/>
  <c r="J81" i="333"/>
  <c r="I80" i="333"/>
  <c r="J80" i="333"/>
  <c r="I79" i="333"/>
  <c r="J79" i="333"/>
  <c r="K78" i="333"/>
  <c r="H78" i="333"/>
  <c r="I78" i="333"/>
  <c r="J78" i="333"/>
  <c r="G78" i="333"/>
  <c r="F78" i="333"/>
  <c r="E78" i="333"/>
  <c r="D78" i="333"/>
  <c r="C78" i="333"/>
  <c r="I74" i="333"/>
  <c r="J74" i="333"/>
  <c r="I73" i="333"/>
  <c r="J73" i="333"/>
  <c r="K72" i="333"/>
  <c r="H72" i="333"/>
  <c r="G72" i="333"/>
  <c r="I72" i="333"/>
  <c r="J72" i="333"/>
  <c r="F72" i="333"/>
  <c r="E72" i="333"/>
  <c r="D72" i="333"/>
  <c r="C72" i="333"/>
  <c r="I70" i="333"/>
  <c r="J70" i="333"/>
  <c r="I69" i="333"/>
  <c r="J69" i="333"/>
  <c r="K68" i="333"/>
  <c r="H68" i="333"/>
  <c r="G68" i="333"/>
  <c r="I68" i="333"/>
  <c r="J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I64" i="333"/>
  <c r="J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K52" i="333"/>
  <c r="K50" i="333"/>
  <c r="H52" i="333"/>
  <c r="G52" i="333"/>
  <c r="I52" i="333"/>
  <c r="J52" i="333"/>
  <c r="F52" i="333"/>
  <c r="E52" i="333"/>
  <c r="E50" i="333"/>
  <c r="D52" i="333"/>
  <c r="D50" i="333"/>
  <c r="C52" i="333"/>
  <c r="C50" i="333"/>
  <c r="I51" i="333"/>
  <c r="J51" i="333"/>
  <c r="H50" i="333"/>
  <c r="F50" i="333"/>
  <c r="J49" i="333"/>
  <c r="I49" i="333"/>
  <c r="J48" i="333"/>
  <c r="I48" i="333"/>
  <c r="K47" i="333"/>
  <c r="H47" i="333"/>
  <c r="G47" i="333"/>
  <c r="I47" i="333"/>
  <c r="J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I43" i="333"/>
  <c r="J43" i="333"/>
  <c r="G43" i="333"/>
  <c r="F43" i="333"/>
  <c r="E43" i="333"/>
  <c r="D43" i="333"/>
  <c r="C43" i="333"/>
  <c r="J42" i="333"/>
  <c r="I42" i="333"/>
  <c r="J41" i="333"/>
  <c r="I41" i="333"/>
  <c r="J40" i="333"/>
  <c r="I40" i="333"/>
  <c r="J39" i="333"/>
  <c r="I39" i="333"/>
  <c r="J38" i="333"/>
  <c r="I38" i="333"/>
  <c r="J37" i="333"/>
  <c r="I37" i="333"/>
  <c r="J36" i="333"/>
  <c r="I36" i="333"/>
  <c r="J35" i="333"/>
  <c r="I35" i="333"/>
  <c r="J34" i="333"/>
  <c r="I34" i="333"/>
  <c r="J33" i="333"/>
  <c r="I33" i="333"/>
  <c r="J32" i="333"/>
  <c r="I32" i="333"/>
  <c r="J31" i="333"/>
  <c r="I31" i="333"/>
  <c r="J30" i="333"/>
  <c r="I30" i="333"/>
  <c r="J29" i="333"/>
  <c r="I29" i="333"/>
  <c r="K28" i="333"/>
  <c r="H28" i="333"/>
  <c r="G28" i="333"/>
  <c r="I28" i="333"/>
  <c r="J28" i="333"/>
  <c r="F28" i="333"/>
  <c r="E28" i="333"/>
  <c r="D28" i="333"/>
  <c r="C28" i="333"/>
  <c r="J27" i="333"/>
  <c r="J26" i="333"/>
  <c r="I26" i="333"/>
  <c r="J25" i="333"/>
  <c r="I25" i="333"/>
  <c r="J24" i="333"/>
  <c r="I24" i="333"/>
  <c r="J23" i="333"/>
  <c r="I23" i="333"/>
  <c r="K22" i="333"/>
  <c r="H22" i="333"/>
  <c r="G22" i="333"/>
  <c r="I22" i="333"/>
  <c r="J22" i="333"/>
  <c r="F22" i="333"/>
  <c r="E22" i="333"/>
  <c r="D22" i="333"/>
  <c r="C22" i="333"/>
  <c r="I21" i="333"/>
  <c r="J21" i="333"/>
  <c r="I20" i="333"/>
  <c r="J20" i="333"/>
  <c r="K19" i="333"/>
  <c r="H19" i="333"/>
  <c r="I19" i="333"/>
  <c r="J19" i="333"/>
  <c r="G19" i="333"/>
  <c r="F19" i="333"/>
  <c r="E19" i="333"/>
  <c r="D19" i="333"/>
  <c r="C19" i="333"/>
  <c r="J18" i="333"/>
  <c r="I18" i="333"/>
  <c r="J17" i="333"/>
  <c r="I17" i="333"/>
  <c r="J16" i="333"/>
  <c r="I16" i="333"/>
  <c r="K15" i="333"/>
  <c r="H15" i="333"/>
  <c r="G15" i="333"/>
  <c r="I15" i="333"/>
  <c r="J15" i="333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I11" i="333"/>
  <c r="J11" i="333"/>
  <c r="G11" i="333"/>
  <c r="F11" i="333"/>
  <c r="F7" i="333"/>
  <c r="F76" i="333"/>
  <c r="E11" i="333"/>
  <c r="D11" i="333"/>
  <c r="D7" i="333"/>
  <c r="D76" i="333"/>
  <c r="C11" i="333"/>
  <c r="J10" i="333"/>
  <c r="I10" i="333"/>
  <c r="J9" i="333"/>
  <c r="I9" i="333"/>
  <c r="K8" i="333"/>
  <c r="K7" i="333"/>
  <c r="K76" i="333"/>
  <c r="H8" i="333"/>
  <c r="G8" i="333"/>
  <c r="I8" i="333"/>
  <c r="J8" i="333"/>
  <c r="F8" i="333"/>
  <c r="E8" i="333"/>
  <c r="E7" i="333"/>
  <c r="E76" i="333"/>
  <c r="D8" i="333"/>
  <c r="C8" i="333"/>
  <c r="C7" i="333"/>
  <c r="C76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 s="1"/>
  <c r="A8" i="268"/>
  <c r="D4" i="332"/>
  <c r="A5" i="332"/>
  <c r="A27" i="268" s="1"/>
  <c r="D5" i="332"/>
  <c r="A6" i="332"/>
  <c r="A218" i="323" s="1"/>
  <c r="A10" i="268"/>
  <c r="D6" i="332"/>
  <c r="A7" i="332"/>
  <c r="A61" i="323" s="1"/>
  <c r="D7" i="332"/>
  <c r="A8" i="332"/>
  <c r="A240" i="323" s="1"/>
  <c r="A12" i="268"/>
  <c r="D8" i="332"/>
  <c r="A9" i="332"/>
  <c r="A31" i="268" s="1"/>
  <c r="D9" i="332"/>
  <c r="A10" i="332"/>
  <c r="A14" i="268"/>
  <c r="D10" i="332"/>
  <c r="A11" i="332"/>
  <c r="A105" i="323" s="1"/>
  <c r="D11" i="332"/>
  <c r="A12" i="332"/>
  <c r="A16" i="268"/>
  <c r="D12" i="332"/>
  <c r="A13" i="332"/>
  <c r="A35" i="268" s="1"/>
  <c r="A14" i="332"/>
  <c r="A18" i="268" s="1"/>
  <c r="D14" i="332"/>
  <c r="A15" i="332"/>
  <c r="A37" i="268"/>
  <c r="D15" i="332"/>
  <c r="A16" i="332"/>
  <c r="A20" i="268" s="1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K14" i="175"/>
  <c r="H24" i="272"/>
  <c r="I41" i="182"/>
  <c r="J41" i="182" s="1"/>
  <c r="I42" i="182"/>
  <c r="J42" i="182" s="1"/>
  <c r="I40" i="182"/>
  <c r="J40" i="182" s="1"/>
  <c r="K70" i="268"/>
  <c r="H12" i="238"/>
  <c r="F12" i="238"/>
  <c r="I12" i="238"/>
  <c r="F22" i="238"/>
  <c r="F24" i="238"/>
  <c r="K57" i="268"/>
  <c r="H57" i="268"/>
  <c r="G57" i="268"/>
  <c r="I57" i="268" s="1"/>
  <c r="F57" i="268"/>
  <c r="E57" i="268"/>
  <c r="D57" i="268"/>
  <c r="C57" i="268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H17" i="267" s="1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38" i="177"/>
  <c r="H16" i="177"/>
  <c r="I66" i="268"/>
  <c r="D26" i="177"/>
  <c r="D16" i="177"/>
  <c r="K330" i="324"/>
  <c r="K38" i="268"/>
  <c r="K319" i="324"/>
  <c r="K37" i="268"/>
  <c r="K308" i="324"/>
  <c r="K36" i="268"/>
  <c r="K297" i="324"/>
  <c r="K35" i="268" s="1"/>
  <c r="K286" i="324"/>
  <c r="K34" i="268"/>
  <c r="K275" i="324"/>
  <c r="K33" i="268" s="1"/>
  <c r="K264" i="324"/>
  <c r="K32" i="268"/>
  <c r="K253" i="324"/>
  <c r="K31" i="268"/>
  <c r="K242" i="324"/>
  <c r="K30" i="268"/>
  <c r="K231" i="324"/>
  <c r="K29" i="268"/>
  <c r="K220" i="324"/>
  <c r="K28" i="268" s="1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 s="1"/>
  <c r="H275" i="324"/>
  <c r="H33" i="268" s="1"/>
  <c r="F275" i="324"/>
  <c r="F33" i="268" s="1"/>
  <c r="E275" i="324"/>
  <c r="E33" i="268" s="1"/>
  <c r="D275" i="324"/>
  <c r="D33" i="268" s="1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 s="1"/>
  <c r="H220" i="324"/>
  <c r="H28" i="268"/>
  <c r="F220" i="324"/>
  <c r="F28" i="268" s="1"/>
  <c r="E220" i="324"/>
  <c r="E28" i="268"/>
  <c r="D220" i="324"/>
  <c r="D28" i="268"/>
  <c r="G209" i="324"/>
  <c r="G27" i="268"/>
  <c r="H209" i="324"/>
  <c r="F209" i="324"/>
  <c r="F27" i="268"/>
  <c r="E209" i="324"/>
  <c r="E27" i="268"/>
  <c r="D209" i="324"/>
  <c r="D27" i="268"/>
  <c r="G198" i="324"/>
  <c r="G26" i="268"/>
  <c r="H198" i="324"/>
  <c r="H26" i="268"/>
  <c r="F198" i="324"/>
  <c r="F26" i="268"/>
  <c r="E198" i="324"/>
  <c r="E26" i="268"/>
  <c r="D198" i="324"/>
  <c r="D26" i="268"/>
  <c r="G187" i="324"/>
  <c r="G25" i="268"/>
  <c r="H187" i="324"/>
  <c r="H25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C319" i="324"/>
  <c r="C37" i="268"/>
  <c r="C308" i="324"/>
  <c r="C36" i="268"/>
  <c r="C297" i="324"/>
  <c r="C35" i="268" s="1"/>
  <c r="C39" i="268" s="1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/>
  <c r="K150" i="324"/>
  <c r="K19" i="268"/>
  <c r="K139" i="324"/>
  <c r="K18" i="268"/>
  <c r="K128" i="324"/>
  <c r="K17" i="268" s="1"/>
  <c r="K117" i="324"/>
  <c r="K16" i="268"/>
  <c r="K106" i="324"/>
  <c r="K15" i="268"/>
  <c r="K95" i="324"/>
  <c r="K14" i="268"/>
  <c r="K84" i="324"/>
  <c r="K13" i="268"/>
  <c r="K73" i="324"/>
  <c r="K12" i="268"/>
  <c r="K62" i="324"/>
  <c r="K11" i="268"/>
  <c r="K51" i="324"/>
  <c r="K10" i="268" s="1"/>
  <c r="K40" i="324"/>
  <c r="K9" i="268"/>
  <c r="K29" i="324"/>
  <c r="K8" i="268"/>
  <c r="K18" i="324"/>
  <c r="K7" i="268"/>
  <c r="K7" i="324"/>
  <c r="K6" i="268"/>
  <c r="H161" i="324"/>
  <c r="H20" i="268"/>
  <c r="G161" i="324"/>
  <c r="G20" i="268"/>
  <c r="F161" i="324"/>
  <c r="F20" i="268"/>
  <c r="E161" i="324"/>
  <c r="E20" i="268"/>
  <c r="D161" i="324"/>
  <c r="D20" i="268"/>
  <c r="H150" i="324"/>
  <c r="H19" i="268"/>
  <c r="G150" i="324"/>
  <c r="G19" i="268"/>
  <c r="F150" i="324"/>
  <c r="F19" i="268"/>
  <c r="E150" i="324"/>
  <c r="E19" i="268"/>
  <c r="D150" i="324"/>
  <c r="D19" i="268"/>
  <c r="H139" i="324"/>
  <c r="H18" i="268"/>
  <c r="G139" i="324"/>
  <c r="G18" i="268"/>
  <c r="F139" i="324"/>
  <c r="F18" i="268"/>
  <c r="E139" i="324"/>
  <c r="E18" i="268"/>
  <c r="D139" i="324"/>
  <c r="D18" i="268"/>
  <c r="H128" i="324"/>
  <c r="H17" i="268" s="1"/>
  <c r="G128" i="324"/>
  <c r="G17" i="268" s="1"/>
  <c r="F128" i="324"/>
  <c r="F17" i="268" s="1"/>
  <c r="E128" i="324"/>
  <c r="E17" i="268"/>
  <c r="D128" i="324"/>
  <c r="D17" i="268"/>
  <c r="H117" i="324"/>
  <c r="H16" i="268"/>
  <c r="G117" i="324"/>
  <c r="G16" i="268"/>
  <c r="F117" i="324"/>
  <c r="F16" i="268"/>
  <c r="E117" i="324"/>
  <c r="E16" i="268"/>
  <c r="D117" i="324"/>
  <c r="D16" i="268"/>
  <c r="H106" i="324"/>
  <c r="H15" i="268"/>
  <c r="G106" i="324"/>
  <c r="G15" i="268"/>
  <c r="F106" i="324"/>
  <c r="F15" i="268"/>
  <c r="E106" i="324"/>
  <c r="E15" i="268"/>
  <c r="D106" i="324"/>
  <c r="D15" i="268"/>
  <c r="H95" i="324"/>
  <c r="H14" i="268"/>
  <c r="G95" i="324"/>
  <c r="G14" i="268"/>
  <c r="F95" i="324"/>
  <c r="F14" i="268"/>
  <c r="E95" i="324"/>
  <c r="E14" i="268"/>
  <c r="D95" i="324"/>
  <c r="D14" i="268"/>
  <c r="H84" i="324"/>
  <c r="H13" i="268"/>
  <c r="G84" i="324"/>
  <c r="G13" i="268"/>
  <c r="F84" i="324"/>
  <c r="F13" i="268"/>
  <c r="E84" i="324"/>
  <c r="E13" i="268"/>
  <c r="D84" i="324"/>
  <c r="D13" i="268"/>
  <c r="H73" i="324"/>
  <c r="H12" i="268"/>
  <c r="G73" i="324"/>
  <c r="G12" i="268"/>
  <c r="F73" i="324"/>
  <c r="F12" i="268"/>
  <c r="E73" i="324"/>
  <c r="E12" i="268"/>
  <c r="D73" i="324"/>
  <c r="D12" i="268"/>
  <c r="H62" i="324"/>
  <c r="H11" i="268"/>
  <c r="G62" i="324"/>
  <c r="G11" i="268"/>
  <c r="F62" i="324"/>
  <c r="F11" i="268"/>
  <c r="E62" i="324"/>
  <c r="E11" i="268"/>
  <c r="D62" i="324"/>
  <c r="D11" i="268"/>
  <c r="H51" i="324"/>
  <c r="H10" i="268" s="1"/>
  <c r="G51" i="324"/>
  <c r="G10" i="268" s="1"/>
  <c r="F51" i="324"/>
  <c r="F10" i="268" s="1"/>
  <c r="E51" i="324"/>
  <c r="E10" i="268" s="1"/>
  <c r="E21" i="268" s="1"/>
  <c r="D51" i="324"/>
  <c r="D10" i="268" s="1"/>
  <c r="D21" i="268" s="1"/>
  <c r="H40" i="324"/>
  <c r="H9" i="268"/>
  <c r="G40" i="324"/>
  <c r="G9" i="268"/>
  <c r="F40" i="324"/>
  <c r="F9" i="268"/>
  <c r="E40" i="324"/>
  <c r="E9" i="268"/>
  <c r="D40" i="324"/>
  <c r="D9" i="268"/>
  <c r="H29" i="324"/>
  <c r="H8" i="268"/>
  <c r="G29" i="324"/>
  <c r="G8" i="268"/>
  <c r="F29" i="324"/>
  <c r="F8" i="268"/>
  <c r="E29" i="324"/>
  <c r="E8" i="268"/>
  <c r="D29" i="324"/>
  <c r="D8" i="268"/>
  <c r="H18" i="324"/>
  <c r="H7" i="268"/>
  <c r="G18" i="324"/>
  <c r="G7" i="268"/>
  <c r="F18" i="324"/>
  <c r="F7" i="268"/>
  <c r="E18" i="324"/>
  <c r="E7" i="268"/>
  <c r="D18" i="324"/>
  <c r="D7" i="268"/>
  <c r="H7" i="324"/>
  <c r="H6" i="268"/>
  <c r="G7" i="324"/>
  <c r="G6" i="268"/>
  <c r="F7" i="324"/>
  <c r="F6" i="268"/>
  <c r="E7" i="324"/>
  <c r="E6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 s="1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F70" i="268"/>
  <c r="F74" i="268" s="1"/>
  <c r="G70" i="268"/>
  <c r="G74" i="268" s="1"/>
  <c r="I74" i="268" s="1"/>
  <c r="J74" i="268" s="1"/>
  <c r="H70" i="268"/>
  <c r="H74" i="268"/>
  <c r="K74" i="268"/>
  <c r="C70" i="268"/>
  <c r="C74" i="268"/>
  <c r="H341" i="324"/>
  <c r="K341" i="324"/>
  <c r="E341" i="324"/>
  <c r="C172" i="324"/>
  <c r="A75" i="100"/>
  <c r="B99" i="100"/>
  <c r="C16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28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H15" i="242"/>
  <c r="H19" i="242"/>
  <c r="H22" i="242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28" i="242"/>
  <c r="K43" i="242"/>
  <c r="K47" i="242"/>
  <c r="K64" i="242"/>
  <c r="K68" i="242"/>
  <c r="K72" i="242"/>
  <c r="K8" i="326"/>
  <c r="K11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K36" i="272"/>
  <c r="K35" i="272"/>
  <c r="K34" i="272"/>
  <c r="K33" i="272"/>
  <c r="H38" i="272"/>
  <c r="G38" i="272"/>
  <c r="F38" i="272"/>
  <c r="E38" i="272"/>
  <c r="D38" i="272"/>
  <c r="H37" i="272"/>
  <c r="G37" i="272"/>
  <c r="F37" i="272"/>
  <c r="E37" i="272"/>
  <c r="D37" i="272"/>
  <c r="H36" i="272"/>
  <c r="G36" i="272"/>
  <c r="F36" i="272"/>
  <c r="E36" i="272"/>
  <c r="D36" i="272"/>
  <c r="H35" i="272"/>
  <c r="F35" i="272"/>
  <c r="E35" i="272"/>
  <c r="D35" i="272"/>
  <c r="H34" i="272"/>
  <c r="G34" i="272"/>
  <c r="F34" i="272"/>
  <c r="E34" i="272"/>
  <c r="D34" i="272"/>
  <c r="H33" i="272"/>
  <c r="F33" i="272"/>
  <c r="E33" i="272"/>
  <c r="D33" i="272"/>
  <c r="C38" i="272"/>
  <c r="C37" i="272"/>
  <c r="C36" i="272"/>
  <c r="C35" i="272"/>
  <c r="C34" i="272"/>
  <c r="C33" i="272"/>
  <c r="K20" i="272"/>
  <c r="K19" i="272"/>
  <c r="K18" i="272"/>
  <c r="K17" i="272"/>
  <c r="K16" i="272"/>
  <c r="K15" i="272"/>
  <c r="K14" i="272"/>
  <c r="H15" i="272"/>
  <c r="G16" i="272"/>
  <c r="H16" i="272"/>
  <c r="G17" i="272"/>
  <c r="H17" i="272"/>
  <c r="G18" i="272"/>
  <c r="H18" i="272"/>
  <c r="G19" i="272"/>
  <c r="H19" i="272"/>
  <c r="G20" i="272"/>
  <c r="H20" i="272"/>
  <c r="F20" i="272"/>
  <c r="E20" i="272"/>
  <c r="D20" i="272"/>
  <c r="F19" i="272"/>
  <c r="E19" i="272"/>
  <c r="D19" i="272"/>
  <c r="F18" i="272"/>
  <c r="E18" i="272"/>
  <c r="D18" i="272"/>
  <c r="F17" i="272"/>
  <c r="E17" i="272"/>
  <c r="D17" i="272"/>
  <c r="F16" i="272"/>
  <c r="E16" i="272"/>
  <c r="D16" i="272"/>
  <c r="F15" i="272"/>
  <c r="E15" i="272"/>
  <c r="D15" i="272"/>
  <c r="C20" i="272"/>
  <c r="C19" i="272"/>
  <c r="C18" i="272"/>
  <c r="C17" i="272"/>
  <c r="C16" i="272"/>
  <c r="X11" i="329"/>
  <c r="X35" i="329"/>
  <c r="B12" i="100" s="1"/>
  <c r="O3" i="317" s="1"/>
  <c r="F77" i="100"/>
  <c r="B27" i="322"/>
  <c r="B73" i="100" s="1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G50" i="242"/>
  <c r="H78" i="326"/>
  <c r="H52" i="326"/>
  <c r="H50" i="326"/>
  <c r="G78" i="326"/>
  <c r="G52" i="326"/>
  <c r="H78" i="325"/>
  <c r="H52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241"/>
  <c r="C9" i="241"/>
  <c r="C11" i="241"/>
  <c r="C13" i="241"/>
  <c r="C15" i="241"/>
  <c r="C17" i="241"/>
  <c r="C18" i="241"/>
  <c r="C19" i="241"/>
  <c r="C22" i="241"/>
  <c r="C23" i="241"/>
  <c r="C24" i="241"/>
  <c r="K7" i="241"/>
  <c r="K9" i="241"/>
  <c r="K13" i="241"/>
  <c r="K15" i="241"/>
  <c r="K17" i="241"/>
  <c r="K18" i="241"/>
  <c r="K19" i="241"/>
  <c r="K22" i="241"/>
  <c r="K23" i="241"/>
  <c r="K24" i="241"/>
  <c r="K25" i="241"/>
  <c r="K30" i="241"/>
  <c r="K34" i="241"/>
  <c r="K36" i="241"/>
  <c r="K38" i="241"/>
  <c r="K41" i="241"/>
  <c r="K42" i="241"/>
  <c r="K45" i="241"/>
  <c r="K46" i="241"/>
  <c r="K47" i="241"/>
  <c r="K48" i="241"/>
  <c r="H7" i="241"/>
  <c r="H11" i="241"/>
  <c r="H15" i="241"/>
  <c r="H18" i="241"/>
  <c r="H22" i="241"/>
  <c r="H23" i="241"/>
  <c r="H24" i="241"/>
  <c r="H25" i="241"/>
  <c r="H30" i="241"/>
  <c r="H32" i="241"/>
  <c r="H36" i="241"/>
  <c r="H38" i="241"/>
  <c r="H40" i="241"/>
  <c r="H41" i="241"/>
  <c r="H42" i="241"/>
  <c r="H45" i="241"/>
  <c r="H47" i="241"/>
  <c r="G13" i="241"/>
  <c r="I13" i="241" s="1"/>
  <c r="J13" i="241" s="1"/>
  <c r="G17" i="241"/>
  <c r="G19" i="241"/>
  <c r="G22" i="241"/>
  <c r="G23" i="241"/>
  <c r="I23" i="241" s="1"/>
  <c r="J23" i="241" s="1"/>
  <c r="G24" i="241"/>
  <c r="G25" i="241"/>
  <c r="I25" i="241"/>
  <c r="J25" i="241" s="1"/>
  <c r="G30" i="241"/>
  <c r="I30" i="241" s="1"/>
  <c r="J30" i="241" s="1"/>
  <c r="G34" i="241"/>
  <c r="G38" i="241"/>
  <c r="G42" i="241"/>
  <c r="I42" i="241"/>
  <c r="J42" i="241" s="1"/>
  <c r="G46" i="241"/>
  <c r="G48" i="241"/>
  <c r="F7" i="241"/>
  <c r="F11" i="241"/>
  <c r="F13" i="241"/>
  <c r="F15" i="241"/>
  <c r="F18" i="241"/>
  <c r="F19" i="241"/>
  <c r="F22" i="241"/>
  <c r="F23" i="241"/>
  <c r="F24" i="241"/>
  <c r="F25" i="241"/>
  <c r="F30" i="241"/>
  <c r="F32" i="241"/>
  <c r="F36" i="241"/>
  <c r="F38" i="241"/>
  <c r="F40" i="241"/>
  <c r="F41" i="241"/>
  <c r="F42" i="241"/>
  <c r="F45" i="241"/>
  <c r="F46" i="241"/>
  <c r="F47" i="241"/>
  <c r="F48" i="241"/>
  <c r="E7" i="241"/>
  <c r="E9" i="241"/>
  <c r="E13" i="241"/>
  <c r="E15" i="241"/>
  <c r="E17" i="241"/>
  <c r="E18" i="241"/>
  <c r="E19" i="241"/>
  <c r="E22" i="241"/>
  <c r="E23" i="241"/>
  <c r="E24" i="241"/>
  <c r="E25" i="241"/>
  <c r="E30" i="241"/>
  <c r="E34" i="241"/>
  <c r="E36" i="241"/>
  <c r="E38" i="241"/>
  <c r="E41" i="241"/>
  <c r="E42" i="241"/>
  <c r="E45" i="241"/>
  <c r="E46" i="241"/>
  <c r="E47" i="241"/>
  <c r="E48" i="241"/>
  <c r="D7" i="241"/>
  <c r="D11" i="241"/>
  <c r="D13" i="241"/>
  <c r="D15" i="241"/>
  <c r="D18" i="241"/>
  <c r="D19" i="241"/>
  <c r="D22" i="241"/>
  <c r="D23" i="241"/>
  <c r="D24" i="241"/>
  <c r="D25" i="241"/>
  <c r="D30" i="241"/>
  <c r="D32" i="241"/>
  <c r="D36" i="241"/>
  <c r="D38" i="241"/>
  <c r="D40" i="241"/>
  <c r="D41" i="241"/>
  <c r="D42" i="241"/>
  <c r="D45" i="241"/>
  <c r="D46" i="241"/>
  <c r="D47" i="241"/>
  <c r="D48" i="241"/>
  <c r="C48" i="241"/>
  <c r="C47" i="241"/>
  <c r="C46" i="241"/>
  <c r="C45" i="241"/>
  <c r="C42" i="241"/>
  <c r="C40" i="241"/>
  <c r="C38" i="241"/>
  <c r="C36" i="241"/>
  <c r="C34" i="241"/>
  <c r="C32" i="24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F83" i="100"/>
  <c r="F82" i="100"/>
  <c r="F81" i="100"/>
  <c r="F80" i="100"/>
  <c r="F78" i="100"/>
  <c r="B61" i="100"/>
  <c r="F98" i="100"/>
  <c r="F97" i="100"/>
  <c r="F96" i="100"/>
  <c r="F95" i="100"/>
  <c r="B92" i="100"/>
  <c r="B91" i="100"/>
  <c r="B90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2" i="333" s="1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B4" i="100"/>
  <c r="G4" i="322"/>
  <c r="H4" i="322"/>
  <c r="I4" i="322"/>
  <c r="J4" i="322"/>
  <c r="K4" i="322"/>
  <c r="L4" i="322"/>
  <c r="M4" i="322"/>
  <c r="N4" i="322"/>
  <c r="O4" i="322"/>
  <c r="F5" i="322"/>
  <c r="G5" i="322"/>
  <c r="B3" i="100"/>
  <c r="D2" i="333" s="1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D64" i="100"/>
  <c r="X37" i="329"/>
  <c r="K35" i="177"/>
  <c r="J45" i="267" s="1"/>
  <c r="H35" i="177"/>
  <c r="G35" i="177"/>
  <c r="F35" i="177"/>
  <c r="E35" i="177"/>
  <c r="D45" i="267"/>
  <c r="D35" i="177"/>
  <c r="C35" i="177"/>
  <c r="B45" i="267" s="1"/>
  <c r="K26" i="177"/>
  <c r="H26" i="177"/>
  <c r="G44" i="267"/>
  <c r="G26" i="177"/>
  <c r="F44" i="267"/>
  <c r="F26" i="177"/>
  <c r="E26" i="177"/>
  <c r="D44" i="267" s="1"/>
  <c r="C26" i="177"/>
  <c r="G16" i="177"/>
  <c r="F16" i="177"/>
  <c r="E16" i="177"/>
  <c r="E77" i="100"/>
  <c r="E46" i="267"/>
  <c r="G48" i="178"/>
  <c r="J40" i="267" s="1"/>
  <c r="G40" i="178"/>
  <c r="J39" i="267" s="1"/>
  <c r="G35" i="178"/>
  <c r="J38" i="267" s="1"/>
  <c r="G25" i="178"/>
  <c r="J37" i="267" s="1"/>
  <c r="G13" i="178"/>
  <c r="J36" i="267" s="1"/>
  <c r="E48" i="178"/>
  <c r="D40" i="267" s="1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 s="1"/>
  <c r="D25" i="178"/>
  <c r="C37" i="267"/>
  <c r="E13" i="178"/>
  <c r="D36" i="267" s="1"/>
  <c r="D13" i="178"/>
  <c r="C36" i="267" s="1"/>
  <c r="C48" i="178"/>
  <c r="B40" i="267" s="1"/>
  <c r="C40" i="178"/>
  <c r="B39" i="267" s="1"/>
  <c r="C35" i="178"/>
  <c r="B38" i="267" s="1"/>
  <c r="C25" i="178"/>
  <c r="B37" i="267"/>
  <c r="C13" i="178"/>
  <c r="B36" i="267" s="1"/>
  <c r="J32" i="267"/>
  <c r="J31" i="267"/>
  <c r="J30" i="267"/>
  <c r="G32" i="267"/>
  <c r="F32" i="267"/>
  <c r="H32" i="267" s="1"/>
  <c r="I32" i="267" s="1"/>
  <c r="E32" i="267"/>
  <c r="D32" i="267"/>
  <c r="C32" i="267"/>
  <c r="G31" i="267"/>
  <c r="F31" i="267"/>
  <c r="H31" i="267"/>
  <c r="I31" i="267" s="1"/>
  <c r="E31" i="267"/>
  <c r="D31" i="267"/>
  <c r="C31" i="267"/>
  <c r="G30" i="267"/>
  <c r="F30" i="267"/>
  <c r="H30" i="267" s="1"/>
  <c r="I30" i="267" s="1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18" i="267" s="1"/>
  <c r="J19" i="267" s="1"/>
  <c r="J6" i="267"/>
  <c r="J7" i="267"/>
  <c r="J8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19" i="267" s="1"/>
  <c r="G20" i="267" s="1"/>
  <c r="G23" i="267" s="1"/>
  <c r="G25" i="267" s="1"/>
  <c r="G37" i="182"/>
  <c r="F18" i="267" s="1"/>
  <c r="F37" i="182"/>
  <c r="E18" i="267" s="1"/>
  <c r="E19" i="267" s="1"/>
  <c r="E37" i="182"/>
  <c r="D18" i="267" s="1"/>
  <c r="D19" i="267" s="1"/>
  <c r="D20" i="267" s="1"/>
  <c r="D23" i="267" s="1"/>
  <c r="D25" i="267" s="1"/>
  <c r="D37" i="182"/>
  <c r="C18" i="267"/>
  <c r="C19" i="267" s="1"/>
  <c r="C37" i="182"/>
  <c r="B18" i="267" s="1"/>
  <c r="B19" i="267" s="1"/>
  <c r="B20" i="267" s="1"/>
  <c r="B23" i="267" s="1"/>
  <c r="B25" i="267" s="1"/>
  <c r="F6" i="267"/>
  <c r="H6" i="267" s="1"/>
  <c r="I6" i="267" s="1"/>
  <c r="F7" i="267"/>
  <c r="H7" i="267" s="1"/>
  <c r="I7" i="267" s="1"/>
  <c r="F9" i="267"/>
  <c r="H9" i="267" s="1"/>
  <c r="I9" i="267" s="1"/>
  <c r="G23" i="182"/>
  <c r="G6" i="267"/>
  <c r="G7" i="267"/>
  <c r="G9" i="267"/>
  <c r="H23" i="182"/>
  <c r="H16" i="267"/>
  <c r="I16" i="267" s="1"/>
  <c r="H15" i="267"/>
  <c r="I15" i="267" s="1"/>
  <c r="H14" i="267"/>
  <c r="I14" i="267" s="1"/>
  <c r="H13" i="267"/>
  <c r="I13" i="267" s="1"/>
  <c r="H12" i="267"/>
  <c r="I12" i="267" s="1"/>
  <c r="I6" i="182"/>
  <c r="I7" i="182"/>
  <c r="I8" i="182"/>
  <c r="I9" i="182"/>
  <c r="J9" i="182" s="1"/>
  <c r="I10" i="182"/>
  <c r="I11" i="182"/>
  <c r="I12" i="182"/>
  <c r="I14" i="182"/>
  <c r="I15" i="182"/>
  <c r="I20" i="182"/>
  <c r="E6" i="267"/>
  <c r="E7" i="267"/>
  <c r="E9" i="267"/>
  <c r="F23" i="182"/>
  <c r="D6" i="267"/>
  <c r="D7" i="267"/>
  <c r="D9" i="267"/>
  <c r="E23" i="182"/>
  <c r="C6" i="267"/>
  <c r="C7" i="267"/>
  <c r="C9" i="267"/>
  <c r="D23" i="182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/>
  <c r="E15" i="173"/>
  <c r="D52" i="267"/>
  <c r="F15" i="173"/>
  <c r="E52" i="267"/>
  <c r="G15" i="173"/>
  <c r="F52" i="267"/>
  <c r="H15" i="173"/>
  <c r="G52" i="267"/>
  <c r="I15" i="173"/>
  <c r="H52" i="267"/>
  <c r="J15" i="173"/>
  <c r="I52" i="267"/>
  <c r="K6" i="173"/>
  <c r="K7" i="173"/>
  <c r="K8" i="173"/>
  <c r="K9" i="173"/>
  <c r="K10" i="173"/>
  <c r="K11" i="173"/>
  <c r="K12" i="173"/>
  <c r="K13" i="173"/>
  <c r="K14" i="173"/>
  <c r="B44" i="267"/>
  <c r="C44" i="267"/>
  <c r="E44" i="267"/>
  <c r="J44" i="267"/>
  <c r="F45" i="267"/>
  <c r="G45" i="267"/>
  <c r="H45" i="267"/>
  <c r="I45" i="267" s="1"/>
  <c r="C45" i="267"/>
  <c r="E45" i="267"/>
  <c r="C13" i="175"/>
  <c r="B50" i="267" s="1"/>
  <c r="D13" i="175"/>
  <c r="C50" i="267" s="1"/>
  <c r="E13" i="175"/>
  <c r="D50" i="267" s="1"/>
  <c r="F13" i="175"/>
  <c r="E50" i="267"/>
  <c r="G13" i="175"/>
  <c r="F50" i="267"/>
  <c r="H13" i="175"/>
  <c r="G50" i="267"/>
  <c r="I13" i="175"/>
  <c r="H50" i="267"/>
  <c r="J13" i="175"/>
  <c r="I50" i="267"/>
  <c r="K6" i="175"/>
  <c r="K7" i="175"/>
  <c r="K8" i="175"/>
  <c r="K9" i="175"/>
  <c r="K10" i="175"/>
  <c r="K11" i="175"/>
  <c r="K12" i="175"/>
  <c r="B43" i="267"/>
  <c r="D37" i="177"/>
  <c r="D39" i="177" s="1"/>
  <c r="C46" i="267" s="1"/>
  <c r="E43" i="267"/>
  <c r="D43" i="267"/>
  <c r="C43" i="267"/>
  <c r="F43" i="267"/>
  <c r="G43" i="267"/>
  <c r="H43" i="267"/>
  <c r="I43" i="267" s="1"/>
  <c r="K38" i="177"/>
  <c r="G29" i="267"/>
  <c r="F29" i="267"/>
  <c r="F33" i="267" s="1"/>
  <c r="E29" i="267"/>
  <c r="B29" i="267"/>
  <c r="B33" i="267" s="1"/>
  <c r="C29" i="267"/>
  <c r="D29" i="267"/>
  <c r="D33" i="267" s="1"/>
  <c r="J29" i="267"/>
  <c r="J33" i="267" s="1"/>
  <c r="C7" i="272"/>
  <c r="C9" i="272"/>
  <c r="H9" i="272"/>
  <c r="H11" i="272"/>
  <c r="H13" i="272"/>
  <c r="D9" i="272"/>
  <c r="D11" i="272"/>
  <c r="D13" i="272"/>
  <c r="E6" i="272"/>
  <c r="E8" i="272"/>
  <c r="E10" i="272"/>
  <c r="E12" i="272"/>
  <c r="E14" i="272"/>
  <c r="F9" i="272"/>
  <c r="F11" i="272"/>
  <c r="F13" i="272"/>
  <c r="K6" i="272"/>
  <c r="K8" i="272"/>
  <c r="K10" i="272"/>
  <c r="K12" i="272"/>
  <c r="I37" i="241"/>
  <c r="J37" i="241" s="1"/>
  <c r="I35" i="241"/>
  <c r="J35" i="241" s="1"/>
  <c r="I31" i="241"/>
  <c r="J31" i="241" s="1"/>
  <c r="I14" i="241"/>
  <c r="J14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I12" i="241"/>
  <c r="J12" i="241" s="1"/>
  <c r="I8" i="241"/>
  <c r="J8" i="241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W340" i="323"/>
  <c r="V170" i="323"/>
  <c r="V338" i="323"/>
  <c r="V340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K7" i="272"/>
  <c r="K9" i="272"/>
  <c r="K11" i="272"/>
  <c r="K13" i="272"/>
  <c r="H6" i="272"/>
  <c r="G7" i="272"/>
  <c r="H8" i="272"/>
  <c r="G9" i="272"/>
  <c r="I9" i="272" s="1"/>
  <c r="J9" i="272" s="1"/>
  <c r="G10" i="272"/>
  <c r="H10" i="272"/>
  <c r="G11" i="272"/>
  <c r="I11" i="272" s="1"/>
  <c r="J11" i="272" s="1"/>
  <c r="H12" i="272"/>
  <c r="G13" i="272"/>
  <c r="I13" i="272" s="1"/>
  <c r="J13" i="272" s="1"/>
  <c r="G14" i="272"/>
  <c r="H14" i="272"/>
  <c r="F6" i="272"/>
  <c r="F8" i="272"/>
  <c r="F10" i="272"/>
  <c r="F12" i="272"/>
  <c r="F14" i="272"/>
  <c r="E7" i="272"/>
  <c r="E9" i="272"/>
  <c r="E11" i="272"/>
  <c r="E13" i="272"/>
  <c r="D6" i="272"/>
  <c r="D8" i="272"/>
  <c r="D10" i="272"/>
  <c r="D12" i="272"/>
  <c r="D14" i="272"/>
  <c r="H25" i="272"/>
  <c r="G26" i="272"/>
  <c r="H26" i="272"/>
  <c r="I26" i="272"/>
  <c r="J26" i="272" s="1"/>
  <c r="H27" i="272"/>
  <c r="G28" i="272"/>
  <c r="H28" i="272"/>
  <c r="I28" i="272"/>
  <c r="J28" i="272" s="1"/>
  <c r="G29" i="272"/>
  <c r="H29" i="272"/>
  <c r="I29" i="272"/>
  <c r="J29" i="272" s="1"/>
  <c r="H30" i="272"/>
  <c r="G31" i="272"/>
  <c r="H31" i="272"/>
  <c r="I31" i="272"/>
  <c r="J31" i="272" s="1"/>
  <c r="G32" i="272"/>
  <c r="H32" i="272"/>
  <c r="I34" i="272"/>
  <c r="J34" i="272"/>
  <c r="I36" i="272"/>
  <c r="J36" i="272"/>
  <c r="I37" i="272"/>
  <c r="I38" i="272"/>
  <c r="J38" i="272" s="1"/>
  <c r="J37" i="272"/>
  <c r="K24" i="272"/>
  <c r="K25" i="272"/>
  <c r="K26" i="272"/>
  <c r="K27" i="272"/>
  <c r="K28" i="272"/>
  <c r="K29" i="272"/>
  <c r="K30" i="272"/>
  <c r="K31" i="272"/>
  <c r="K32" i="272"/>
  <c r="F24" i="272"/>
  <c r="F25" i="272"/>
  <c r="F26" i="272"/>
  <c r="F27" i="272"/>
  <c r="F28" i="272"/>
  <c r="F29" i="272"/>
  <c r="F30" i="272"/>
  <c r="F31" i="272"/>
  <c r="F32" i="272"/>
  <c r="E24" i="272"/>
  <c r="E39" i="272" s="1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5" i="272"/>
  <c r="C14" i="272"/>
  <c r="C13" i="272"/>
  <c r="C12" i="272"/>
  <c r="C11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K39" i="182"/>
  <c r="K43" i="182" s="1"/>
  <c r="K45" i="182" s="1"/>
  <c r="K47" i="182" s="1"/>
  <c r="K49" i="182" s="1"/>
  <c r="H39" i="182"/>
  <c r="H43" i="182" s="1"/>
  <c r="H45" i="182" s="1"/>
  <c r="H47" i="182" s="1"/>
  <c r="H49" i="182" s="1"/>
  <c r="G39" i="182"/>
  <c r="G43" i="182" s="1"/>
  <c r="G45" i="182" s="1"/>
  <c r="G47" i="182" s="1"/>
  <c r="G49" i="182" s="1"/>
  <c r="E39" i="182"/>
  <c r="E43" i="182" s="1"/>
  <c r="E45" i="182" s="1"/>
  <c r="E47" i="182" s="1"/>
  <c r="E49" i="182" s="1"/>
  <c r="D39" i="182"/>
  <c r="D43" i="182" s="1"/>
  <c r="D45" i="182" s="1"/>
  <c r="D47" i="182" s="1"/>
  <c r="D49" i="182" s="1"/>
  <c r="C39" i="182"/>
  <c r="C43" i="182" s="1"/>
  <c r="C45" i="182" s="1"/>
  <c r="C47" i="182" s="1"/>
  <c r="C49" i="182" s="1"/>
  <c r="E80" i="100"/>
  <c r="B80" i="100"/>
  <c r="K54" i="182"/>
  <c r="H54" i="182"/>
  <c r="G54" i="182"/>
  <c r="F54" i="182"/>
  <c r="E54" i="182"/>
  <c r="D54" i="182"/>
  <c r="C54" i="182"/>
  <c r="A54" i="182"/>
  <c r="I37" i="182"/>
  <c r="J37" i="182" s="1"/>
  <c r="I44" i="182"/>
  <c r="J44" i="182"/>
  <c r="I36" i="182"/>
  <c r="J36" i="182"/>
  <c r="I35" i="182"/>
  <c r="J35" i="182"/>
  <c r="J34" i="182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J20" i="182"/>
  <c r="I19" i="182"/>
  <c r="J19" i="182"/>
  <c r="I18" i="182"/>
  <c r="J18" i="182"/>
  <c r="I17" i="182"/>
  <c r="J17" i="182" s="1"/>
  <c r="I16" i="182"/>
  <c r="J16" i="182"/>
  <c r="J15" i="182"/>
  <c r="J14" i="182"/>
  <c r="I13" i="182"/>
  <c r="J13" i="182" s="1"/>
  <c r="J12" i="182"/>
  <c r="J11" i="182"/>
  <c r="J10" i="182"/>
  <c r="J8" i="182"/>
  <c r="J7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/>
  <c r="V171" i="324"/>
  <c r="V340" i="324"/>
  <c r="V342" i="324"/>
  <c r="U171" i="324"/>
  <c r="U340" i="324"/>
  <c r="T171" i="324"/>
  <c r="T340" i="324"/>
  <c r="T342" i="324"/>
  <c r="S171" i="324"/>
  <c r="S340" i="324"/>
  <c r="R171" i="324"/>
  <c r="R340" i="324"/>
  <c r="Q171" i="324"/>
  <c r="Q340" i="324"/>
  <c r="P171" i="324"/>
  <c r="P340" i="324"/>
  <c r="P342" i="324"/>
  <c r="O171" i="324"/>
  <c r="O340" i="324"/>
  <c r="O342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 s="1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 s="1"/>
  <c r="I284" i="324"/>
  <c r="J284" i="324" s="1"/>
  <c r="I283" i="324"/>
  <c r="J283" i="324" s="1"/>
  <c r="I282" i="324"/>
  <c r="J282" i="324" s="1"/>
  <c r="I281" i="324"/>
  <c r="J281" i="324" s="1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/>
  <c r="I161" i="324"/>
  <c r="J161" i="324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/>
  <c r="I150" i="324"/>
  <c r="J150" i="324"/>
  <c r="I149" i="324"/>
  <c r="J149" i="324"/>
  <c r="I148" i="324"/>
  <c r="J148" i="324"/>
  <c r="I147" i="324"/>
  <c r="J147" i="324"/>
  <c r="I146" i="324"/>
  <c r="J146" i="324"/>
  <c r="I145" i="324"/>
  <c r="J145" i="324"/>
  <c r="I144" i="324"/>
  <c r="J144" i="324"/>
  <c r="I143" i="324"/>
  <c r="J143" i="324"/>
  <c r="I142" i="324"/>
  <c r="J142" i="324"/>
  <c r="I141" i="324"/>
  <c r="J141" i="324"/>
  <c r="I140" i="324"/>
  <c r="J140" i="324"/>
  <c r="I139" i="324"/>
  <c r="J139" i="324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/>
  <c r="I126" i="324"/>
  <c r="J126" i="324"/>
  <c r="I125" i="324"/>
  <c r="J125" i="324"/>
  <c r="I124" i="324"/>
  <c r="J124" i="324"/>
  <c r="I123" i="324"/>
  <c r="J123" i="324"/>
  <c r="I122" i="324"/>
  <c r="J122" i="324"/>
  <c r="I121" i="324"/>
  <c r="J121" i="324"/>
  <c r="I120" i="324"/>
  <c r="J120" i="324"/>
  <c r="I119" i="324"/>
  <c r="J119" i="324"/>
  <c r="I118" i="324"/>
  <c r="J118" i="324"/>
  <c r="I117" i="324"/>
  <c r="J117" i="324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/>
  <c r="I106" i="324"/>
  <c r="J106" i="324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/>
  <c r="I98" i="324"/>
  <c r="J98" i="324"/>
  <c r="I97" i="324"/>
  <c r="J97" i="324"/>
  <c r="I96" i="324"/>
  <c r="J96" i="324"/>
  <c r="I95" i="324"/>
  <c r="J95" i="324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/>
  <c r="I87" i="324"/>
  <c r="J87" i="324"/>
  <c r="I86" i="324"/>
  <c r="J86" i="324"/>
  <c r="I85" i="324"/>
  <c r="J85" i="324"/>
  <c r="I84" i="324"/>
  <c r="J84" i="324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/>
  <c r="I75" i="324"/>
  <c r="J75" i="324"/>
  <c r="I74" i="324"/>
  <c r="J74" i="324"/>
  <c r="I73" i="324"/>
  <c r="J73" i="324"/>
  <c r="I72" i="324"/>
  <c r="J72" i="324"/>
  <c r="I71" i="324"/>
  <c r="J71" i="324"/>
  <c r="I70" i="324"/>
  <c r="J70" i="324"/>
  <c r="I69" i="324"/>
  <c r="J69" i="324"/>
  <c r="I68" i="324"/>
  <c r="J68" i="324"/>
  <c r="I67" i="324"/>
  <c r="J67" i="324"/>
  <c r="I66" i="324"/>
  <c r="J66" i="324"/>
  <c r="I65" i="324"/>
  <c r="J65" i="324"/>
  <c r="I64" i="324"/>
  <c r="J64" i="324"/>
  <c r="I63" i="324"/>
  <c r="J63" i="324"/>
  <c r="I62" i="324"/>
  <c r="J62" i="324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1" i="324"/>
  <c r="J51" i="324" s="1"/>
  <c r="I50" i="324"/>
  <c r="J50" i="324"/>
  <c r="I49" i="324"/>
  <c r="J49" i="324"/>
  <c r="I48" i="324"/>
  <c r="J48" i="324"/>
  <c r="I47" i="324"/>
  <c r="J47" i="324"/>
  <c r="I46" i="324"/>
  <c r="J46" i="324"/>
  <c r="I45" i="324"/>
  <c r="J45" i="324"/>
  <c r="I44" i="324"/>
  <c r="J44" i="324"/>
  <c r="I43" i="324"/>
  <c r="J43" i="324"/>
  <c r="I42" i="324"/>
  <c r="J42" i="324"/>
  <c r="I41" i="324"/>
  <c r="J41" i="324"/>
  <c r="I40" i="324"/>
  <c r="J40" i="324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/>
  <c r="I30" i="324"/>
  <c r="J30" i="324"/>
  <c r="I29" i="324"/>
  <c r="J29" i="324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/>
  <c r="I18" i="324"/>
  <c r="J18" i="324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/>
  <c r="I7" i="324"/>
  <c r="J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/>
  <c r="I59" i="268"/>
  <c r="J59" i="268" s="1"/>
  <c r="I58" i="268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3" i="268"/>
  <c r="J73" i="268"/>
  <c r="I72" i="268"/>
  <c r="J72" i="268"/>
  <c r="I71" i="268"/>
  <c r="J71" i="268"/>
  <c r="I70" i="268"/>
  <c r="J70" i="268" s="1"/>
  <c r="I69" i="268"/>
  <c r="J69" i="268" s="1"/>
  <c r="I68" i="268"/>
  <c r="J68" i="268" s="1"/>
  <c r="I67" i="268"/>
  <c r="J67" i="268" s="1"/>
  <c r="J66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G26" i="178"/>
  <c r="F25" i="178"/>
  <c r="F37" i="267"/>
  <c r="E26" i="178"/>
  <c r="F39" i="174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8" i="177"/>
  <c r="J8" i="177" s="1"/>
  <c r="I9" i="177"/>
  <c r="J9" i="177" s="1"/>
  <c r="I10" i="177"/>
  <c r="J10" i="177"/>
  <c r="I11" i="177"/>
  <c r="I13" i="177"/>
  <c r="J13" i="177" s="1"/>
  <c r="I14" i="177"/>
  <c r="J14" i="177" s="1"/>
  <c r="I15" i="177"/>
  <c r="J15" i="177" s="1"/>
  <c r="I26" i="177"/>
  <c r="J26" i="177" s="1"/>
  <c r="I35" i="177"/>
  <c r="J35" i="177" s="1"/>
  <c r="E83" i="100"/>
  <c r="B83" i="100"/>
  <c r="I30" i="177"/>
  <c r="J30" i="177" s="1"/>
  <c r="I31" i="177"/>
  <c r="I32" i="177"/>
  <c r="J32" i="177"/>
  <c r="I34" i="177"/>
  <c r="J34" i="177"/>
  <c r="J33" i="177"/>
  <c r="J31" i="177"/>
  <c r="F37" i="177"/>
  <c r="I20" i="177"/>
  <c r="I25" i="177"/>
  <c r="J25" i="177"/>
  <c r="I21" i="177"/>
  <c r="J21" i="177"/>
  <c r="I22" i="177"/>
  <c r="J22" i="177"/>
  <c r="I23" i="177"/>
  <c r="J23" i="177"/>
  <c r="J20" i="177"/>
  <c r="J11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I104" i="172"/>
  <c r="H104" i="172"/>
  <c r="G104" i="172"/>
  <c r="F104" i="172"/>
  <c r="E104" i="172"/>
  <c r="D104" i="172"/>
  <c r="C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A101" i="172"/>
  <c r="B104" i="100"/>
  <c r="A76" i="172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51" i="172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B37" i="172" s="1"/>
  <c r="F14" i="180"/>
  <c r="B36" i="172" s="1"/>
  <c r="F13" i="180"/>
  <c r="B35" i="172" s="1"/>
  <c r="F12" i="180"/>
  <c r="B34" i="172" s="1"/>
  <c r="F11" i="180"/>
  <c r="B33" i="172" s="1"/>
  <c r="G6" i="180"/>
  <c r="C28" i="172"/>
  <c r="F6" i="180"/>
  <c r="F7" i="180" s="1"/>
  <c r="B28" i="172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18" i="175"/>
  <c r="C80" i="172" s="1"/>
  <c r="B80" i="172" s="1"/>
  <c r="K17" i="175"/>
  <c r="C79" i="172" s="1"/>
  <c r="B79" i="172" s="1"/>
  <c r="K16" i="175"/>
  <c r="C78" i="172" s="1"/>
  <c r="B78" i="172" s="1"/>
  <c r="I54" i="172"/>
  <c r="H54" i="172"/>
  <c r="G54" i="172"/>
  <c r="F54" i="172"/>
  <c r="E54" i="172"/>
  <c r="D54" i="172"/>
  <c r="C54" i="172"/>
  <c r="B54" i="172"/>
  <c r="I53" i="172"/>
  <c r="H53" i="172"/>
  <c r="G53" i="172"/>
  <c r="F53" i="172"/>
  <c r="E53" i="172"/>
  <c r="D53" i="172"/>
  <c r="C53" i="172"/>
  <c r="B53" i="172"/>
  <c r="B15" i="251"/>
  <c r="B10" i="251"/>
  <c r="B5" i="251"/>
  <c r="A41" i="251"/>
  <c r="B2" i="251"/>
  <c r="A2" i="251"/>
  <c r="E93" i="100"/>
  <c r="A5" i="181"/>
  <c r="G23" i="181"/>
  <c r="G37" i="181"/>
  <c r="I37" i="181" s="1"/>
  <c r="J37" i="181" s="1"/>
  <c r="H23" i="181"/>
  <c r="H37" i="181"/>
  <c r="H39" i="181" s="1"/>
  <c r="H43" i="181" s="1"/>
  <c r="H45" i="181" s="1"/>
  <c r="I44" i="181"/>
  <c r="J44" i="181"/>
  <c r="I42" i="181"/>
  <c r="J42" i="181"/>
  <c r="I41" i="181"/>
  <c r="J41" i="181"/>
  <c r="I40" i="181"/>
  <c r="J40" i="181"/>
  <c r="I36" i="181"/>
  <c r="J36" i="181" s="1"/>
  <c r="I35" i="181"/>
  <c r="J35" i="181" s="1"/>
  <c r="I34" i="181"/>
  <c r="J34" i="181" s="1"/>
  <c r="I33" i="181"/>
  <c r="J33" i="181" s="1"/>
  <c r="I32" i="181"/>
  <c r="J32" i="181" s="1"/>
  <c r="I31" i="181"/>
  <c r="J31" i="181" s="1"/>
  <c r="I30" i="181"/>
  <c r="J30" i="181" s="1"/>
  <c r="I29" i="181"/>
  <c r="J29" i="181" s="1"/>
  <c r="I28" i="181"/>
  <c r="J28" i="181" s="1"/>
  <c r="I27" i="181"/>
  <c r="J27" i="181" s="1"/>
  <c r="I26" i="181"/>
  <c r="J26" i="181" s="1"/>
  <c r="I22" i="181"/>
  <c r="J22" i="181" s="1"/>
  <c r="I21" i="181"/>
  <c r="J21" i="181" s="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 s="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 s="1"/>
  <c r="K23" i="181"/>
  <c r="K37" i="181"/>
  <c r="K39" i="181" s="1"/>
  <c r="K43" i="181" s="1"/>
  <c r="K45" i="181" s="1"/>
  <c r="F23" i="181"/>
  <c r="F39" i="181" s="1"/>
  <c r="F43" i="181" s="1"/>
  <c r="F45" i="181" s="1"/>
  <c r="F37" i="181"/>
  <c r="E23" i="181"/>
  <c r="E37" i="181"/>
  <c r="D23" i="181"/>
  <c r="D37" i="181"/>
  <c r="C23" i="181"/>
  <c r="C37" i="181"/>
  <c r="C39" i="181" s="1"/>
  <c r="C43" i="181" s="1"/>
  <c r="C45" i="181" s="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 s="1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 s="1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H15" i="180"/>
  <c r="J15" i="18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/>
  <c r="I44" i="242"/>
  <c r="J44" i="242"/>
  <c r="I45" i="242"/>
  <c r="J45" i="242"/>
  <c r="I46" i="242"/>
  <c r="J46" i="242"/>
  <c r="I47" i="242"/>
  <c r="J47" i="242"/>
  <c r="I41" i="242"/>
  <c r="J41" i="242"/>
  <c r="I8" i="242"/>
  <c r="J8" i="242" s="1"/>
  <c r="I9" i="242"/>
  <c r="J9" i="242" s="1"/>
  <c r="I10" i="242"/>
  <c r="J10" i="242" s="1"/>
  <c r="I11" i="242"/>
  <c r="J11" i="242"/>
  <c r="I12" i="242"/>
  <c r="J12" i="242"/>
  <c r="I13" i="242"/>
  <c r="J13" i="242"/>
  <c r="I14" i="242"/>
  <c r="J14" i="242"/>
  <c r="I15" i="242"/>
  <c r="J15" i="242" s="1"/>
  <c r="I16" i="242"/>
  <c r="J16" i="242" s="1"/>
  <c r="I17" i="242"/>
  <c r="J17" i="242" s="1"/>
  <c r="I18" i="242"/>
  <c r="J18" i="242" s="1"/>
  <c r="I19" i="242"/>
  <c r="J19" i="242" s="1"/>
  <c r="I20" i="242"/>
  <c r="J20" i="242" s="1"/>
  <c r="I21" i="242"/>
  <c r="J21" i="242" s="1"/>
  <c r="I22" i="242"/>
  <c r="J22" i="242" s="1"/>
  <c r="I23" i="242"/>
  <c r="J23" i="242" s="1"/>
  <c r="I24" i="242"/>
  <c r="J24" i="242" s="1"/>
  <c r="I25" i="242"/>
  <c r="J25" i="242" s="1"/>
  <c r="I26" i="242"/>
  <c r="J26" i="242" s="1"/>
  <c r="J27" i="242"/>
  <c r="I28" i="242"/>
  <c r="J28" i="242"/>
  <c r="I69" i="242"/>
  <c r="J69" i="242"/>
  <c r="I74" i="242"/>
  <c r="J74" i="242"/>
  <c r="I73" i="242"/>
  <c r="J73" i="242"/>
  <c r="I72" i="242"/>
  <c r="J72" i="242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/>
  <c r="I50" i="242"/>
  <c r="J50" i="242" s="1"/>
  <c r="I49" i="242"/>
  <c r="J49" i="242"/>
  <c r="I48" i="242"/>
  <c r="J48" i="242"/>
  <c r="I43" i="242"/>
  <c r="J43" i="242"/>
  <c r="I42" i="242"/>
  <c r="J42" i="242"/>
  <c r="I40" i="242"/>
  <c r="J40" i="242"/>
  <c r="I39" i="242"/>
  <c r="J39" i="242"/>
  <c r="I38" i="242"/>
  <c r="J38" i="242"/>
  <c r="I37" i="242"/>
  <c r="J37" i="242"/>
  <c r="I36" i="242"/>
  <c r="J36" i="242"/>
  <c r="I35" i="242"/>
  <c r="J35" i="242"/>
  <c r="I34" i="242"/>
  <c r="J34" i="242"/>
  <c r="I33" i="242"/>
  <c r="J33" i="242"/>
  <c r="I32" i="242"/>
  <c r="J32" i="242"/>
  <c r="I31" i="242"/>
  <c r="J31" i="242"/>
  <c r="I30" i="242"/>
  <c r="J30" i="242"/>
  <c r="I29" i="242"/>
  <c r="J29" i="242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 s="1"/>
  <c r="I25" i="326"/>
  <c r="J25" i="326" s="1"/>
  <c r="I24" i="326"/>
  <c r="J24" i="326" s="1"/>
  <c r="I23" i="326"/>
  <c r="J23" i="326" s="1"/>
  <c r="I22" i="326"/>
  <c r="J22" i="326" s="1"/>
  <c r="I21" i="326"/>
  <c r="J21" i="326" s="1"/>
  <c r="I20" i="326"/>
  <c r="J20" i="326" s="1"/>
  <c r="I19" i="326"/>
  <c r="J19" i="326" s="1"/>
  <c r="I18" i="326"/>
  <c r="J18" i="326" s="1"/>
  <c r="I17" i="326"/>
  <c r="J17" i="326" s="1"/>
  <c r="I16" i="326"/>
  <c r="J16" i="326" s="1"/>
  <c r="I15" i="326"/>
  <c r="J15" i="326" s="1"/>
  <c r="I14" i="326"/>
  <c r="J14" i="326" s="1"/>
  <c r="I13" i="326"/>
  <c r="J13" i="326" s="1"/>
  <c r="I12" i="326"/>
  <c r="J12" i="326" s="1"/>
  <c r="I11" i="326"/>
  <c r="J11" i="326" s="1"/>
  <c r="I10" i="326"/>
  <c r="J10" i="326" s="1"/>
  <c r="I9" i="326"/>
  <c r="J9" i="326" s="1"/>
  <c r="I8" i="326"/>
  <c r="J8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H47" i="325"/>
  <c r="H50" i="325"/>
  <c r="H64" i="325"/>
  <c r="H68" i="325"/>
  <c r="H72" i="325"/>
  <c r="G8" i="325"/>
  <c r="G11" i="325"/>
  <c r="G15" i="325"/>
  <c r="G19" i="325"/>
  <c r="G22" i="325"/>
  <c r="G28" i="325"/>
  <c r="G43" i="325"/>
  <c r="G47" i="325"/>
  <c r="G50" i="325"/>
  <c r="G64" i="325"/>
  <c r="G68" i="325"/>
  <c r="G72" i="325"/>
  <c r="F8" i="325"/>
  <c r="F11" i="325"/>
  <c r="F7" i="325" s="1"/>
  <c r="F15" i="325"/>
  <c r="F19" i="325"/>
  <c r="F22" i="325"/>
  <c r="F28" i="325"/>
  <c r="F43" i="325"/>
  <c r="F47" i="325"/>
  <c r="F50" i="325"/>
  <c r="F64" i="325"/>
  <c r="F68" i="325"/>
  <c r="F72" i="325"/>
  <c r="E8" i="325"/>
  <c r="E11" i="325"/>
  <c r="E15" i="325"/>
  <c r="E19" i="325"/>
  <c r="E22" i="325"/>
  <c r="E28" i="325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7" i="325" s="1"/>
  <c r="C28" i="325"/>
  <c r="C43" i="325"/>
  <c r="C47" i="325"/>
  <c r="C50" i="325"/>
  <c r="C64" i="325"/>
  <c r="C68" i="325"/>
  <c r="C72" i="325"/>
  <c r="I66" i="325"/>
  <c r="J66" i="325"/>
  <c r="I65" i="325"/>
  <c r="J65" i="325"/>
  <c r="I64" i="325"/>
  <c r="J64" i="325"/>
  <c r="J63" i="325"/>
  <c r="I70" i="325"/>
  <c r="J70" i="325"/>
  <c r="I69" i="325"/>
  <c r="J69" i="325"/>
  <c r="J67" i="325"/>
  <c r="I74" i="325"/>
  <c r="J74" i="325"/>
  <c r="I73" i="325"/>
  <c r="J73" i="325"/>
  <c r="I72" i="325"/>
  <c r="J72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2" i="325"/>
  <c r="J52" i="325"/>
  <c r="I51" i="325"/>
  <c r="J51" i="325" s="1"/>
  <c r="I50" i="325"/>
  <c r="J50" i="325" s="1"/>
  <c r="I49" i="325"/>
  <c r="J49" i="325"/>
  <c r="I48" i="325"/>
  <c r="J48" i="325"/>
  <c r="I47" i="325"/>
  <c r="J47" i="325"/>
  <c r="I46" i="325"/>
  <c r="J46" i="325"/>
  <c r="I45" i="325"/>
  <c r="J45" i="325"/>
  <c r="I44" i="325"/>
  <c r="J44" i="325"/>
  <c r="I43" i="325"/>
  <c r="J43" i="325"/>
  <c r="I42" i="325"/>
  <c r="J42" i="325"/>
  <c r="I41" i="325"/>
  <c r="J41" i="325"/>
  <c r="I40" i="325"/>
  <c r="J40" i="325"/>
  <c r="I39" i="325"/>
  <c r="J39" i="325"/>
  <c r="I38" i="325"/>
  <c r="J38" i="325"/>
  <c r="I37" i="325"/>
  <c r="J37" i="325"/>
  <c r="I36" i="325"/>
  <c r="J36" i="325"/>
  <c r="I35" i="325"/>
  <c r="J35" i="325"/>
  <c r="I34" i="325"/>
  <c r="J34" i="325"/>
  <c r="I33" i="325"/>
  <c r="J33" i="325"/>
  <c r="I32" i="325"/>
  <c r="J32" i="325"/>
  <c r="I31" i="325"/>
  <c r="J31" i="325"/>
  <c r="I30" i="325"/>
  <c r="J30" i="325"/>
  <c r="I29" i="325"/>
  <c r="J29" i="325" s="1"/>
  <c r="I28" i="325"/>
  <c r="J28" i="325"/>
  <c r="J27" i="325"/>
  <c r="I26" i="325"/>
  <c r="J26" i="325" s="1"/>
  <c r="I25" i="325"/>
  <c r="J25" i="325" s="1"/>
  <c r="I24" i="325"/>
  <c r="J24" i="325" s="1"/>
  <c r="I23" i="325"/>
  <c r="J23" i="325" s="1"/>
  <c r="I22" i="325"/>
  <c r="J22" i="325" s="1"/>
  <c r="I21" i="325"/>
  <c r="J21" i="325"/>
  <c r="I20" i="325"/>
  <c r="J20" i="325"/>
  <c r="I18" i="325"/>
  <c r="J18" i="325"/>
  <c r="I17" i="325"/>
  <c r="J17" i="325"/>
  <c r="I16" i="325"/>
  <c r="J16" i="325"/>
  <c r="I15" i="325"/>
  <c r="J15" i="325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G55" i="174"/>
  <c r="G17" i="174" s="1"/>
  <c r="F42" i="174"/>
  <c r="F44" i="174"/>
  <c r="F55" i="174"/>
  <c r="F27" i="174"/>
  <c r="E42" i="174"/>
  <c r="E44" i="174"/>
  <c r="E55" i="174"/>
  <c r="E27" i="174"/>
  <c r="H40" i="174"/>
  <c r="G40" i="174"/>
  <c r="F40" i="174"/>
  <c r="E40" i="174"/>
  <c r="E26" i="174" s="1"/>
  <c r="D42" i="174"/>
  <c r="D44" i="174"/>
  <c r="D55" i="174"/>
  <c r="D27" i="174" s="1"/>
  <c r="D40" i="174"/>
  <c r="H63" i="174"/>
  <c r="H18" i="174" s="1"/>
  <c r="G63" i="174"/>
  <c r="G18" i="174" s="1"/>
  <c r="F63" i="174"/>
  <c r="F18" i="174"/>
  <c r="E63" i="174"/>
  <c r="E18" i="174"/>
  <c r="H59" i="174"/>
  <c r="H17" i="174" s="1"/>
  <c r="G59" i="174"/>
  <c r="F59" i="174"/>
  <c r="F17" i="174"/>
  <c r="E59" i="174"/>
  <c r="D63" i="174"/>
  <c r="D18" i="174" s="1"/>
  <c r="D59" i="174"/>
  <c r="H53" i="174"/>
  <c r="H14" i="174" s="1"/>
  <c r="G53" i="174"/>
  <c r="F53" i="174"/>
  <c r="F14" i="174"/>
  <c r="E53" i="174"/>
  <c r="D53" i="174"/>
  <c r="H52" i="174"/>
  <c r="H13" i="174" s="1"/>
  <c r="F52" i="174"/>
  <c r="F13" i="174" s="1"/>
  <c r="E52" i="174"/>
  <c r="E13" i="174" s="1"/>
  <c r="D52" i="174"/>
  <c r="D13" i="174" s="1"/>
  <c r="H51" i="174"/>
  <c r="H50" i="174"/>
  <c r="G51" i="174"/>
  <c r="G50" i="174"/>
  <c r="G11" i="174" s="1"/>
  <c r="F51" i="174"/>
  <c r="F50" i="174"/>
  <c r="E51" i="174"/>
  <c r="E50" i="174"/>
  <c r="E11" i="174" s="1"/>
  <c r="D51" i="174"/>
  <c r="D50" i="174"/>
  <c r="H48" i="174"/>
  <c r="H49" i="174"/>
  <c r="H10" i="174" s="1"/>
  <c r="G48" i="174"/>
  <c r="G49" i="174"/>
  <c r="G10" i="174" s="1"/>
  <c r="F48" i="174"/>
  <c r="F49" i="174"/>
  <c r="E48" i="174"/>
  <c r="E49" i="174"/>
  <c r="D48" i="174"/>
  <c r="D49" i="174"/>
  <c r="D10" i="174" s="1"/>
  <c r="H47" i="174"/>
  <c r="G47" i="174"/>
  <c r="F47" i="174"/>
  <c r="E47" i="174"/>
  <c r="D47" i="174"/>
  <c r="H45" i="174"/>
  <c r="G45" i="174"/>
  <c r="F45" i="174"/>
  <c r="E45" i="174"/>
  <c r="D45" i="174"/>
  <c r="H39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0" i="175"/>
  <c r="J25" i="175"/>
  <c r="J26" i="175"/>
  <c r="I20" i="175"/>
  <c r="I25" i="175"/>
  <c r="I26" i="175"/>
  <c r="H20" i="175"/>
  <c r="H25" i="175"/>
  <c r="H26" i="175"/>
  <c r="G20" i="175"/>
  <c r="G25" i="175"/>
  <c r="G26" i="175"/>
  <c r="F20" i="175"/>
  <c r="F25" i="175"/>
  <c r="F26" i="175"/>
  <c r="M14" i="175"/>
  <c r="A2" i="175"/>
  <c r="M6" i="175"/>
  <c r="M7" i="175"/>
  <c r="M8" i="175"/>
  <c r="M9" i="175"/>
  <c r="M10" i="175"/>
  <c r="M11" i="175"/>
  <c r="M12" i="175"/>
  <c r="L13" i="175"/>
  <c r="M13" i="175"/>
  <c r="L20" i="175"/>
  <c r="L15" i="173"/>
  <c r="A2" i="173"/>
  <c r="J22" i="238"/>
  <c r="I22" i="238"/>
  <c r="I24" i="238"/>
  <c r="H22" i="238"/>
  <c r="H24" i="238"/>
  <c r="A25" i="238"/>
  <c r="C41" i="270"/>
  <c r="C59" i="270"/>
  <c r="C69" i="270"/>
  <c r="I63" i="270"/>
  <c r="J63" i="270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F62" i="270"/>
  <c r="E62" i="270"/>
  <c r="D62" i="270"/>
  <c r="I61" i="270"/>
  <c r="J61" i="270"/>
  <c r="I60" i="270"/>
  <c r="J60" i="270"/>
  <c r="K59" i="270"/>
  <c r="G59" i="270"/>
  <c r="H59" i="270"/>
  <c r="I59" i="270"/>
  <c r="J59" i="270"/>
  <c r="F59" i="270"/>
  <c r="E59" i="270"/>
  <c r="D59" i="270"/>
  <c r="K41" i="270"/>
  <c r="K69" i="270" s="1"/>
  <c r="K71" i="270" s="1"/>
  <c r="G41" i="270"/>
  <c r="H41" i="270"/>
  <c r="H69" i="270" s="1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20" i="270"/>
  <c r="K27" i="270"/>
  <c r="K30" i="270"/>
  <c r="H8" i="270"/>
  <c r="H20" i="270"/>
  <c r="H38" i="270"/>
  <c r="G8" i="270"/>
  <c r="G20" i="270"/>
  <c r="G38" i="270"/>
  <c r="F8" i="270"/>
  <c r="F20" i="270"/>
  <c r="F27" i="270"/>
  <c r="F30" i="270"/>
  <c r="E8" i="270"/>
  <c r="E20" i="270"/>
  <c r="E27" i="270"/>
  <c r="E30" i="270"/>
  <c r="D8" i="270"/>
  <c r="D20" i="270"/>
  <c r="D38" i="270"/>
  <c r="D27" i="270"/>
  <c r="D30" i="270"/>
  <c r="C8" i="270"/>
  <c r="C20" i="270"/>
  <c r="C27" i="270"/>
  <c r="A62" i="270"/>
  <c r="A44" i="269"/>
  <c r="A59" i="270"/>
  <c r="A52" i="270"/>
  <c r="A38" i="269"/>
  <c r="A41" i="270"/>
  <c r="I42" i="270"/>
  <c r="J42" i="270" s="1"/>
  <c r="I47" i="270"/>
  <c r="J47" i="270" s="1"/>
  <c r="I48" i="270"/>
  <c r="J48" i="270"/>
  <c r="I49" i="270"/>
  <c r="J49" i="270"/>
  <c r="I50" i="270"/>
  <c r="J50" i="270"/>
  <c r="I51" i="270"/>
  <c r="J51" i="270" s="1"/>
  <c r="I58" i="270"/>
  <c r="J58" i="270"/>
  <c r="I68" i="270"/>
  <c r="I9" i="270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68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I44" i="269"/>
  <c r="J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 s="1"/>
  <c r="I36" i="269"/>
  <c r="J36" i="269"/>
  <c r="I35" i="269"/>
  <c r="J35" i="269"/>
  <c r="I34" i="269"/>
  <c r="J34" i="269"/>
  <c r="I33" i="269"/>
  <c r="J33" i="269" s="1"/>
  <c r="I32" i="269"/>
  <c r="J32" i="269" s="1"/>
  <c r="K31" i="269"/>
  <c r="H31" i="269"/>
  <c r="H47" i="269" s="1"/>
  <c r="H49" i="269" s="1"/>
  <c r="G31" i="269"/>
  <c r="F31" i="269"/>
  <c r="F47" i="269" s="1"/>
  <c r="E31" i="269"/>
  <c r="E47" i="269" s="1"/>
  <c r="D31" i="269"/>
  <c r="D47" i="269" s="1"/>
  <c r="C31" i="269"/>
  <c r="C47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G25" i="269"/>
  <c r="H25" i="269"/>
  <c r="H8" i="269"/>
  <c r="H16" i="269"/>
  <c r="H28" i="269"/>
  <c r="G8" i="269"/>
  <c r="G28" i="269" s="1"/>
  <c r="G16" i="269"/>
  <c r="F8" i="269"/>
  <c r="F28" i="269" s="1"/>
  <c r="F16" i="269"/>
  <c r="F22" i="269"/>
  <c r="F25" i="269"/>
  <c r="E8" i="269"/>
  <c r="E16" i="269"/>
  <c r="E22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1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I30" i="318" s="1"/>
  <c r="G46" i="318"/>
  <c r="G83" i="318"/>
  <c r="I83" i="318" s="1"/>
  <c r="J83" i="318" s="1"/>
  <c r="G99" i="318"/>
  <c r="F30" i="318"/>
  <c r="F46" i="318"/>
  <c r="F83" i="318"/>
  <c r="F99" i="318"/>
  <c r="G14" i="318"/>
  <c r="G67" i="318"/>
  <c r="I67" i="318" s="1"/>
  <c r="J67" i="318" s="1"/>
  <c r="H14" i="318"/>
  <c r="H67" i="318"/>
  <c r="K14" i="318"/>
  <c r="K15" i="318"/>
  <c r="K30" i="318"/>
  <c r="K31" i="318" s="1"/>
  <c r="K46" i="318"/>
  <c r="K47" i="318" s="1"/>
  <c r="K67" i="318"/>
  <c r="K68" i="318" s="1"/>
  <c r="K83" i="318"/>
  <c r="K84" i="318"/>
  <c r="K99" i="318"/>
  <c r="K100" i="318" s="1"/>
  <c r="E14" i="318"/>
  <c r="E30" i="318"/>
  <c r="E46" i="318"/>
  <c r="E47" i="318"/>
  <c r="E67" i="318"/>
  <c r="E83" i="318"/>
  <c r="E99" i="318"/>
  <c r="E100" i="318"/>
  <c r="D14" i="318"/>
  <c r="D15" i="318" s="1"/>
  <c r="D30" i="318"/>
  <c r="D46" i="318"/>
  <c r="D67" i="318"/>
  <c r="D68" i="318" s="1"/>
  <c r="D83" i="318"/>
  <c r="D99" i="318"/>
  <c r="D100" i="318" s="1"/>
  <c r="C83" i="318"/>
  <c r="E68" i="318"/>
  <c r="E15" i="318"/>
  <c r="C14" i="318"/>
  <c r="I98" i="318"/>
  <c r="J98" i="318" s="1"/>
  <c r="I97" i="318"/>
  <c r="J97" i="318" s="1"/>
  <c r="I96" i="318"/>
  <c r="J96" i="318" s="1"/>
  <c r="I95" i="318"/>
  <c r="J95" i="318" s="1"/>
  <c r="I94" i="318"/>
  <c r="J94" i="318" s="1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 s="1"/>
  <c r="I73" i="318"/>
  <c r="J73" i="318" s="1"/>
  <c r="I72" i="318"/>
  <c r="J72" i="318" s="1"/>
  <c r="I71" i="318"/>
  <c r="J71" i="318" s="1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 s="1"/>
  <c r="I21" i="318"/>
  <c r="J21" i="318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D31" i="318" s="1"/>
  <c r="C46" i="318"/>
  <c r="D47" i="318" s="1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F102" i="318" s="1"/>
  <c r="C99" i="318"/>
  <c r="A107" i="318"/>
  <c r="P22" i="317"/>
  <c r="P34" i="317" s="1"/>
  <c r="P47" i="317"/>
  <c r="O22" i="317"/>
  <c r="O34" i="317" s="1"/>
  <c r="O47" i="317"/>
  <c r="O53" i="317"/>
  <c r="O56" i="317"/>
  <c r="Q22" i="317"/>
  <c r="Q34" i="317" s="1"/>
  <c r="Q47" i="317"/>
  <c r="Q53" i="317"/>
  <c r="D22" i="317"/>
  <c r="D34" i="317" s="1"/>
  <c r="D47" i="317"/>
  <c r="D53" i="317"/>
  <c r="C22" i="317"/>
  <c r="C34" i="317" s="1"/>
  <c r="C47" i="317"/>
  <c r="C53" i="317" s="1"/>
  <c r="E22" i="317"/>
  <c r="E34" i="317" s="1"/>
  <c r="E47" i="317"/>
  <c r="E53" i="317"/>
  <c r="F22" i="317"/>
  <c r="F34" i="317"/>
  <c r="F47" i="317"/>
  <c r="F53" i="317"/>
  <c r="G22" i="317"/>
  <c r="G34" i="317" s="1"/>
  <c r="G47" i="317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J53" i="317" s="1"/>
  <c r="K22" i="317"/>
  <c r="K34" i="317" s="1"/>
  <c r="K47" i="317"/>
  <c r="L22" i="317"/>
  <c r="L34" i="317"/>
  <c r="L47" i="317"/>
  <c r="L53" i="317" s="1"/>
  <c r="M22" i="317"/>
  <c r="M34" i="317"/>
  <c r="M47" i="317"/>
  <c r="M53" i="317" s="1"/>
  <c r="M55" i="317" s="1"/>
  <c r="M67" i="317" s="1"/>
  <c r="N37" i="317"/>
  <c r="N38" i="317"/>
  <c r="N39" i="317"/>
  <c r="N40" i="317"/>
  <c r="N41" i="317"/>
  <c r="N42" i="317"/>
  <c r="N43" i="317"/>
  <c r="N44" i="317"/>
  <c r="N45" i="317"/>
  <c r="N46" i="317"/>
  <c r="N47" i="317" s="1"/>
  <c r="N66" i="317" s="1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O2" i="317" s="1"/>
  <c r="A2" i="317"/>
  <c r="N54" i="317"/>
  <c r="N36" i="317"/>
  <c r="N35" i="317"/>
  <c r="B14" i="100"/>
  <c r="Q3" i="317" s="1"/>
  <c r="B13" i="100"/>
  <c r="P3" i="317" s="1"/>
  <c r="B2" i="317"/>
  <c r="B47" i="317"/>
  <c r="B53" i="317"/>
  <c r="B55" i="317"/>
  <c r="A58" i="317"/>
  <c r="E66" i="317"/>
  <c r="I78" i="325"/>
  <c r="J78" i="325"/>
  <c r="I78" i="326"/>
  <c r="J78" i="326"/>
  <c r="C7" i="326"/>
  <c r="C76" i="326" s="1"/>
  <c r="H7" i="326"/>
  <c r="H76" i="326" s="1"/>
  <c r="F7" i="326"/>
  <c r="F76" i="326" s="1"/>
  <c r="D7" i="326"/>
  <c r="D76" i="326" s="1"/>
  <c r="I78" i="242"/>
  <c r="J78" i="242"/>
  <c r="J11" i="180"/>
  <c r="H17" i="180"/>
  <c r="H14" i="180"/>
  <c r="I16" i="180"/>
  <c r="E31" i="183"/>
  <c r="F31" i="183"/>
  <c r="D31" i="183"/>
  <c r="H31" i="183"/>
  <c r="E39" i="181"/>
  <c r="E43" i="181" s="1"/>
  <c r="E45" i="181" s="1"/>
  <c r="H106" i="318"/>
  <c r="K47" i="269"/>
  <c r="F69" i="270"/>
  <c r="I62" i="270"/>
  <c r="J62" i="270"/>
  <c r="F38" i="270"/>
  <c r="H44" i="267"/>
  <c r="I44" i="267" s="1"/>
  <c r="C43" i="178"/>
  <c r="C54" i="178" s="1"/>
  <c r="D39" i="174"/>
  <c r="F11" i="174"/>
  <c r="G52" i="174"/>
  <c r="G13" i="174" s="1"/>
  <c r="D14" i="174"/>
  <c r="E14" i="174"/>
  <c r="G41" i="178"/>
  <c r="G43" i="178" s="1"/>
  <c r="G54" i="178" s="1"/>
  <c r="D41" i="178"/>
  <c r="D26" i="178"/>
  <c r="E39" i="174" s="1"/>
  <c r="R342" i="324"/>
  <c r="S342" i="324"/>
  <c r="F172" i="324"/>
  <c r="I187" i="324"/>
  <c r="I25" i="268"/>
  <c r="J25" i="268"/>
  <c r="H27" i="268"/>
  <c r="I231" i="324"/>
  <c r="H31" i="268"/>
  <c r="I275" i="324"/>
  <c r="H35" i="268"/>
  <c r="I319" i="324"/>
  <c r="I47" i="268"/>
  <c r="J47" i="268" s="1"/>
  <c r="I53" i="268"/>
  <c r="J53" i="268" s="1"/>
  <c r="I43" i="268"/>
  <c r="H29" i="267"/>
  <c r="I29" i="267" s="1"/>
  <c r="E7" i="174"/>
  <c r="F26" i="174"/>
  <c r="H21" i="267"/>
  <c r="I21" i="267" s="1"/>
  <c r="H22" i="267"/>
  <c r="I22" i="267" s="1"/>
  <c r="J11" i="267"/>
  <c r="C39" i="272"/>
  <c r="I14" i="272"/>
  <c r="J14" i="272"/>
  <c r="I10" i="272"/>
  <c r="J10" i="272" s="1"/>
  <c r="Q340" i="323"/>
  <c r="D39" i="272"/>
  <c r="E6" i="241"/>
  <c r="K6" i="241"/>
  <c r="I68" i="325"/>
  <c r="J68" i="325"/>
  <c r="I19" i="325"/>
  <c r="J19" i="325"/>
  <c r="I11" i="325"/>
  <c r="J11" i="325" s="1"/>
  <c r="G7" i="326"/>
  <c r="E7" i="326"/>
  <c r="E76" i="326" s="1"/>
  <c r="K7" i="242"/>
  <c r="K76" i="242" s="1"/>
  <c r="G7" i="242"/>
  <c r="E7" i="242"/>
  <c r="E76" i="242"/>
  <c r="I43" i="183"/>
  <c r="J43" i="183"/>
  <c r="I29" i="183"/>
  <c r="J29" i="183" s="1"/>
  <c r="G31" i="183"/>
  <c r="D39" i="181"/>
  <c r="D43" i="181" s="1"/>
  <c r="D45" i="181" s="1"/>
  <c r="I99" i="318"/>
  <c r="J99" i="318" s="1"/>
  <c r="I16" i="269"/>
  <c r="J16" i="269"/>
  <c r="K28" i="269"/>
  <c r="K49" i="269" s="1"/>
  <c r="E28" i="269"/>
  <c r="I25" i="269"/>
  <c r="J25" i="269"/>
  <c r="E38" i="270"/>
  <c r="I30" i="270"/>
  <c r="J30" i="270"/>
  <c r="I27" i="270"/>
  <c r="J27" i="270"/>
  <c r="I20" i="270"/>
  <c r="J20" i="270"/>
  <c r="K13" i="175"/>
  <c r="J50" i="267" s="1"/>
  <c r="G37" i="177"/>
  <c r="G39" i="177" s="1"/>
  <c r="F46" i="267" s="1"/>
  <c r="D11" i="174"/>
  <c r="G14" i="174"/>
  <c r="F41" i="178"/>
  <c r="F26" i="178"/>
  <c r="I33" i="268"/>
  <c r="J33" i="268" s="1"/>
  <c r="J275" i="324"/>
  <c r="M342" i="324"/>
  <c r="Q342" i="324"/>
  <c r="U342" i="324"/>
  <c r="D172" i="324"/>
  <c r="E172" i="324"/>
  <c r="E343" i="324" s="1"/>
  <c r="H172" i="324"/>
  <c r="H343" i="324" s="1"/>
  <c r="G172" i="324"/>
  <c r="J58" i="268"/>
  <c r="H7" i="174"/>
  <c r="D26" i="174"/>
  <c r="C11" i="267"/>
  <c r="G11" i="267"/>
  <c r="H24" i="267"/>
  <c r="I24" i="267"/>
  <c r="I32" i="272"/>
  <c r="J32" i="272" s="1"/>
  <c r="L340" i="323"/>
  <c r="T340" i="323"/>
  <c r="I20" i="272"/>
  <c r="J20" i="272" s="1"/>
  <c r="I18" i="272"/>
  <c r="J18" i="272" s="1"/>
  <c r="I16" i="272"/>
  <c r="J16" i="272" s="1"/>
  <c r="D29" i="241"/>
  <c r="H29" i="241"/>
  <c r="C6" i="241"/>
  <c r="F11" i="267"/>
  <c r="H11" i="267" s="1"/>
  <c r="I11" i="267" s="1"/>
  <c r="J43" i="268"/>
  <c r="B47" i="100"/>
  <c r="K106" i="318"/>
  <c r="I46" i="318"/>
  <c r="J46" i="318" s="1"/>
  <c r="I31" i="269"/>
  <c r="J9" i="270"/>
  <c r="C38" i="270"/>
  <c r="C71" i="270"/>
  <c r="J6" i="180"/>
  <c r="H6" i="180"/>
  <c r="I6" i="180" s="1"/>
  <c r="H11" i="180"/>
  <c r="I11" i="180" s="1"/>
  <c r="H13" i="180"/>
  <c r="C63" i="268"/>
  <c r="E63" i="268"/>
  <c r="G63" i="268"/>
  <c r="D63" i="268"/>
  <c r="F63" i="268"/>
  <c r="H63" i="268"/>
  <c r="K63" i="268"/>
  <c r="H39" i="272"/>
  <c r="I23" i="182"/>
  <c r="C30" i="241"/>
  <c r="C29" i="241" s="1"/>
  <c r="C41" i="241"/>
  <c r="C44" i="241"/>
  <c r="C43" i="241"/>
  <c r="F44" i="241"/>
  <c r="F43" i="241" s="1"/>
  <c r="F34" i="241"/>
  <c r="F33" i="241" s="1"/>
  <c r="F17" i="241"/>
  <c r="F16" i="241" s="1"/>
  <c r="F9" i="241"/>
  <c r="G47" i="241"/>
  <c r="I47" i="241" s="1"/>
  <c r="J47" i="241" s="1"/>
  <c r="G40" i="241"/>
  <c r="I40" i="241" s="1"/>
  <c r="J40" i="241" s="1"/>
  <c r="G32" i="241"/>
  <c r="I32" i="241" s="1"/>
  <c r="J32" i="241" s="1"/>
  <c r="G21" i="241"/>
  <c r="G18" i="241"/>
  <c r="I18" i="241"/>
  <c r="J18" i="241" s="1"/>
  <c r="G15" i="241"/>
  <c r="I15" i="241" s="1"/>
  <c r="J15" i="241" s="1"/>
  <c r="G11" i="241"/>
  <c r="G7" i="241"/>
  <c r="I7" i="241" s="1"/>
  <c r="J7" i="241" s="1"/>
  <c r="B93" i="100"/>
  <c r="D44" i="241"/>
  <c r="D43" i="241" s="1"/>
  <c r="D34" i="241"/>
  <c r="D33" i="241" s="1"/>
  <c r="D17" i="241"/>
  <c r="D16" i="241" s="1"/>
  <c r="D9" i="241"/>
  <c r="E40" i="241"/>
  <c r="E39" i="241"/>
  <c r="E32" i="241"/>
  <c r="E21" i="241"/>
  <c r="E20" i="241" s="1"/>
  <c r="E11" i="241"/>
  <c r="E10" i="241" s="1"/>
  <c r="E26" i="241" s="1"/>
  <c r="H48" i="241"/>
  <c r="H46" i="241"/>
  <c r="H44" i="241"/>
  <c r="H34" i="241"/>
  <c r="H19" i="241"/>
  <c r="I19" i="241" s="1"/>
  <c r="J19" i="241" s="1"/>
  <c r="H17" i="241"/>
  <c r="I17" i="241"/>
  <c r="J17" i="241" s="1"/>
  <c r="H13" i="241"/>
  <c r="H9" i="241"/>
  <c r="K40" i="241"/>
  <c r="K39" i="241" s="1"/>
  <c r="K32" i="241"/>
  <c r="K21" i="241"/>
  <c r="K11" i="241"/>
  <c r="K10" i="241" s="1"/>
  <c r="D39" i="241"/>
  <c r="D21" i="241"/>
  <c r="D20" i="241"/>
  <c r="D10" i="241"/>
  <c r="E44" i="241"/>
  <c r="E43" i="241" s="1"/>
  <c r="E29" i="241"/>
  <c r="E16" i="241"/>
  <c r="F39" i="241"/>
  <c r="F21" i="241"/>
  <c r="F20" i="241" s="1"/>
  <c r="G44" i="241"/>
  <c r="I24" i="241"/>
  <c r="J24" i="241" s="1"/>
  <c r="H39" i="241"/>
  <c r="H21" i="241"/>
  <c r="H20" i="241" s="1"/>
  <c r="H26" i="241" s="1"/>
  <c r="K44" i="241"/>
  <c r="K43" i="241" s="1"/>
  <c r="C21" i="241"/>
  <c r="C20" i="241" s="1"/>
  <c r="C10" i="241"/>
  <c r="H37" i="177"/>
  <c r="H39" i="177" s="1"/>
  <c r="G46" i="267" s="1"/>
  <c r="G76" i="242"/>
  <c r="J31" i="269"/>
  <c r="J16" i="183"/>
  <c r="I31" i="183"/>
  <c r="J31" i="183" s="1"/>
  <c r="L66" i="317"/>
  <c r="J66" i="317"/>
  <c r="H66" i="317"/>
  <c r="F66" i="317"/>
  <c r="D102" i="318"/>
  <c r="E49" i="318"/>
  <c r="E50" i="318" s="1"/>
  <c r="I41" i="270"/>
  <c r="J41" i="270" s="1"/>
  <c r="I176" i="324"/>
  <c r="I242" i="324"/>
  <c r="I253" i="324"/>
  <c r="I264" i="324"/>
  <c r="J264" i="324"/>
  <c r="I330" i="324"/>
  <c r="I38" i="268"/>
  <c r="J38" i="268"/>
  <c r="F28" i="174"/>
  <c r="D2" i="272"/>
  <c r="A53" i="172"/>
  <c r="A104" i="172"/>
  <c r="D2" i="242"/>
  <c r="E2" i="174"/>
  <c r="D2" i="270"/>
  <c r="C2" i="317"/>
  <c r="D2" i="324"/>
  <c r="D2" i="178"/>
  <c r="C77" i="172"/>
  <c r="D2" i="183"/>
  <c r="D2" i="326"/>
  <c r="D2" i="269"/>
  <c r="C2" i="330"/>
  <c r="C2" i="324"/>
  <c r="C2" i="268"/>
  <c r="C2" i="178"/>
  <c r="C2" i="177"/>
  <c r="B77" i="172"/>
  <c r="B2" i="180"/>
  <c r="B2" i="172"/>
  <c r="C2" i="181"/>
  <c r="C2" i="183"/>
  <c r="C2" i="326"/>
  <c r="C2" i="269"/>
  <c r="B2" i="267"/>
  <c r="C2" i="241"/>
  <c r="C2" i="272"/>
  <c r="C2" i="182"/>
  <c r="A54" i="172"/>
  <c r="A103" i="172"/>
  <c r="C2" i="242"/>
  <c r="C2" i="325"/>
  <c r="D2" i="174"/>
  <c r="A14" i="175"/>
  <c r="C2" i="270"/>
  <c r="C2" i="318"/>
  <c r="C2" i="323"/>
  <c r="D2" i="241"/>
  <c r="B79" i="100"/>
  <c r="C2" i="267"/>
  <c r="B77" i="100"/>
  <c r="B96" i="100"/>
  <c r="B97" i="100"/>
  <c r="I31" i="268"/>
  <c r="J31" i="268"/>
  <c r="J253" i="324"/>
  <c r="I24" i="268"/>
  <c r="J24" i="268"/>
  <c r="J176" i="324"/>
  <c r="I7" i="326"/>
  <c r="J7" i="326" s="1"/>
  <c r="C7" i="242"/>
  <c r="C76" i="242" s="1"/>
  <c r="H7" i="242"/>
  <c r="F7" i="242"/>
  <c r="F76" i="242" s="1"/>
  <c r="D7" i="242"/>
  <c r="D76" i="242" s="1"/>
  <c r="C49" i="318"/>
  <c r="K102" i="318"/>
  <c r="K49" i="318"/>
  <c r="H49" i="318"/>
  <c r="J38" i="269"/>
  <c r="G47" i="269"/>
  <c r="I41" i="269"/>
  <c r="J41" i="269"/>
  <c r="I22" i="269"/>
  <c r="J22" i="269"/>
  <c r="K38" i="270"/>
  <c r="E69" i="270"/>
  <c r="E71" i="270" s="1"/>
  <c r="G69" i="270"/>
  <c r="G71" i="270" s="1"/>
  <c r="D69" i="270"/>
  <c r="I8" i="270"/>
  <c r="D43" i="178"/>
  <c r="D54" i="178" s="1"/>
  <c r="H11" i="174"/>
  <c r="F10" i="174"/>
  <c r="E17" i="174"/>
  <c r="N342" i="324"/>
  <c r="I7" i="268"/>
  <c r="J7" i="268"/>
  <c r="I9" i="268"/>
  <c r="J9" i="268"/>
  <c r="I11" i="268"/>
  <c r="J11" i="268"/>
  <c r="I13" i="268"/>
  <c r="J13" i="268"/>
  <c r="I15" i="268"/>
  <c r="J15" i="268"/>
  <c r="I19" i="268"/>
  <c r="J19" i="268"/>
  <c r="I220" i="324"/>
  <c r="I286" i="324"/>
  <c r="I297" i="324"/>
  <c r="D17" i="174"/>
  <c r="D28" i="174"/>
  <c r="G27" i="174"/>
  <c r="F7" i="174"/>
  <c r="H28" i="174"/>
  <c r="B11" i="267"/>
  <c r="D11" i="267"/>
  <c r="F39" i="272"/>
  <c r="K39" i="272"/>
  <c r="S340" i="323"/>
  <c r="C21" i="272"/>
  <c r="E21" i="272"/>
  <c r="E40" i="272" s="1"/>
  <c r="I19" i="272"/>
  <c r="J19" i="272" s="1"/>
  <c r="I17" i="272"/>
  <c r="J17" i="272" s="1"/>
  <c r="H43" i="241"/>
  <c r="E33" i="241"/>
  <c r="I11" i="241"/>
  <c r="J11" i="241" s="1"/>
  <c r="H10" i="241"/>
  <c r="I21" i="241"/>
  <c r="J21" i="241" s="1"/>
  <c r="K20" i="241"/>
  <c r="I48" i="241"/>
  <c r="J48" i="241" s="1"/>
  <c r="C39" i="241"/>
  <c r="I46" i="241"/>
  <c r="J46" i="241"/>
  <c r="I38" i="241"/>
  <c r="J38" i="241"/>
  <c r="G10" i="241"/>
  <c r="I10" i="241" s="1"/>
  <c r="J10" i="241" s="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101" i="100"/>
  <c r="A1" i="172" s="1"/>
  <c r="B102" i="100"/>
  <c r="A26" i="172" s="1"/>
  <c r="B98" i="100"/>
  <c r="H16" i="241"/>
  <c r="H33" i="241"/>
  <c r="I34" i="241"/>
  <c r="J34" i="241" s="1"/>
  <c r="I172" i="324"/>
  <c r="J172" i="324" s="1"/>
  <c r="G39" i="174"/>
  <c r="F43" i="178"/>
  <c r="F54" i="178" s="1"/>
  <c r="N22" i="317"/>
  <c r="N34" i="317" s="1"/>
  <c r="K53" i="317"/>
  <c r="K66" i="317"/>
  <c r="G53" i="317"/>
  <c r="G66" i="317"/>
  <c r="E31" i="318"/>
  <c r="E106" i="318"/>
  <c r="D28" i="269"/>
  <c r="D2" i="330"/>
  <c r="D2" i="182"/>
  <c r="D2" i="325"/>
  <c r="C2" i="173"/>
  <c r="D2" i="318"/>
  <c r="D2" i="323"/>
  <c r="D2" i="268"/>
  <c r="D2" i="177"/>
  <c r="D2" i="181"/>
  <c r="C2" i="180"/>
  <c r="C2" i="175"/>
  <c r="C33" i="241"/>
  <c r="F10" i="241"/>
  <c r="I22" i="241"/>
  <c r="J22" i="241" s="1"/>
  <c r="G20" i="241"/>
  <c r="H6" i="241"/>
  <c r="K16" i="241"/>
  <c r="K21" i="272"/>
  <c r="K40" i="272" s="1"/>
  <c r="I7" i="242"/>
  <c r="J7" i="242" s="1"/>
  <c r="H76" i="242"/>
  <c r="I8" i="268"/>
  <c r="J8" i="268"/>
  <c r="I12" i="268"/>
  <c r="J12" i="268"/>
  <c r="I14" i="268"/>
  <c r="J14" i="268"/>
  <c r="I16" i="268"/>
  <c r="J16" i="268"/>
  <c r="I18" i="268"/>
  <c r="J18" i="268"/>
  <c r="I20" i="268"/>
  <c r="J20" i="268"/>
  <c r="I30" i="268"/>
  <c r="J30" i="268"/>
  <c r="J242" i="324"/>
  <c r="I39" i="182"/>
  <c r="J39" i="182" s="1"/>
  <c r="J23" i="182"/>
  <c r="I10" i="267"/>
  <c r="I37" i="268"/>
  <c r="J37" i="268"/>
  <c r="J319" i="324"/>
  <c r="I29" i="268"/>
  <c r="J29" i="268"/>
  <c r="J231" i="324"/>
  <c r="P53" i="317"/>
  <c r="P66" i="317"/>
  <c r="D84" i="318"/>
  <c r="D106" i="318"/>
  <c r="E84" i="318"/>
  <c r="E102" i="318"/>
  <c r="E104" i="318" s="1"/>
  <c r="E105" i="318" s="1"/>
  <c r="H102" i="318"/>
  <c r="H104" i="318" s="1"/>
  <c r="C28" i="269"/>
  <c r="C49" i="269"/>
  <c r="G16" i="241"/>
  <c r="I16" i="241" s="1"/>
  <c r="J16" i="241" s="1"/>
  <c r="K33" i="241"/>
  <c r="C16" i="241"/>
  <c r="C26" i="241" s="1"/>
  <c r="C40" i="272"/>
  <c r="E28" i="174"/>
  <c r="I16" i="177"/>
  <c r="J16" i="177" s="1"/>
  <c r="I6" i="268"/>
  <c r="H26" i="174"/>
  <c r="D7" i="174"/>
  <c r="J17" i="180"/>
  <c r="J12" i="180"/>
  <c r="J14" i="180"/>
  <c r="J16" i="180"/>
  <c r="H12" i="180"/>
  <c r="I12" i="180" s="1"/>
  <c r="I14" i="180"/>
  <c r="I15" i="180"/>
  <c r="E43" i="178"/>
  <c r="E54" i="178" s="1"/>
  <c r="C341" i="324"/>
  <c r="C343" i="324" s="1"/>
  <c r="D341" i="324"/>
  <c r="D343" i="324" s="1"/>
  <c r="F341" i="324"/>
  <c r="F343" i="324" s="1"/>
  <c r="K172" i="324"/>
  <c r="K343" i="324" s="1"/>
  <c r="G341" i="324"/>
  <c r="I341" i="324" s="1"/>
  <c r="J341" i="324" s="1"/>
  <c r="K50" i="318"/>
  <c r="K104" i="318"/>
  <c r="I47" i="269"/>
  <c r="J8" i="270"/>
  <c r="I38" i="270"/>
  <c r="I35" i="268"/>
  <c r="J35" i="268"/>
  <c r="J297" i="324"/>
  <c r="I28" i="268"/>
  <c r="J28" i="268" s="1"/>
  <c r="J220" i="324"/>
  <c r="I34" i="268"/>
  <c r="J34" i="268"/>
  <c r="J286" i="324"/>
  <c r="I76" i="242"/>
  <c r="J76" i="242" s="1"/>
  <c r="J6" i="268"/>
  <c r="H49" i="241"/>
  <c r="J38" i="270"/>
  <c r="H50" i="241"/>
  <c r="C102" i="318"/>
  <c r="C104" i="318" s="1"/>
  <c r="K105" i="318" s="1"/>
  <c r="D49" i="318"/>
  <c r="C106" i="318"/>
  <c r="G7" i="333"/>
  <c r="G50" i="333"/>
  <c r="I50" i="333"/>
  <c r="J50" i="333"/>
  <c r="G50" i="326"/>
  <c r="I50" i="326"/>
  <c r="J50" i="326"/>
  <c r="I52" i="326"/>
  <c r="J52" i="326"/>
  <c r="G76" i="326"/>
  <c r="D49" i="241"/>
  <c r="J52" i="270"/>
  <c r="I69" i="270"/>
  <c r="I71" i="270" s="1"/>
  <c r="K31" i="183"/>
  <c r="I23" i="181"/>
  <c r="J23" i="181" s="1"/>
  <c r="J330" i="324"/>
  <c r="I44" i="241"/>
  <c r="G29" i="241"/>
  <c r="I29" i="241" s="1"/>
  <c r="G8" i="180"/>
  <c r="G9" i="180"/>
  <c r="C29" i="172"/>
  <c r="G6" i="272"/>
  <c r="H7" i="272"/>
  <c r="F7" i="272"/>
  <c r="F21" i="272"/>
  <c r="D7" i="272"/>
  <c r="D21" i="272" s="1"/>
  <c r="D40" i="272" s="1"/>
  <c r="K29" i="241"/>
  <c r="K49" i="241" s="1"/>
  <c r="K50" i="241" s="1"/>
  <c r="E37" i="177"/>
  <c r="E39" i="177" s="1"/>
  <c r="D46" i="267" s="1"/>
  <c r="D6" i="241"/>
  <c r="D26" i="241"/>
  <c r="D50" i="241" s="1"/>
  <c r="F6" i="241"/>
  <c r="A39" i="323"/>
  <c r="A83" i="323"/>
  <c r="A127" i="323"/>
  <c r="I308" i="324"/>
  <c r="J308" i="324"/>
  <c r="A33" i="268"/>
  <c r="A29" i="268"/>
  <c r="A25" i="268"/>
  <c r="D50" i="318"/>
  <c r="D104" i="318"/>
  <c r="I36" i="268"/>
  <c r="I7" i="272"/>
  <c r="J7" i="272"/>
  <c r="H21" i="272"/>
  <c r="H40" i="272"/>
  <c r="I6" i="272"/>
  <c r="C30" i="172"/>
  <c r="J6" i="272"/>
  <c r="J36" i="268"/>
  <c r="G10" i="180"/>
  <c r="C31" i="172"/>
  <c r="J44" i="241"/>
  <c r="G76" i="333"/>
  <c r="K26" i="241"/>
  <c r="C49" i="241"/>
  <c r="C50" i="241"/>
  <c r="I32" i="268"/>
  <c r="J32" i="268"/>
  <c r="J187" i="324"/>
  <c r="O66" i="317"/>
  <c r="I8" i="325"/>
  <c r="J8" i="325" s="1"/>
  <c r="J13" i="180"/>
  <c r="I17" i="180"/>
  <c r="I13" i="180"/>
  <c r="H16" i="180"/>
  <c r="I198" i="324"/>
  <c r="I209" i="324"/>
  <c r="H7" i="333"/>
  <c r="H76" i="333"/>
  <c r="I76" i="333"/>
  <c r="J76" i="333"/>
  <c r="I7" i="333"/>
  <c r="J7" i="333"/>
  <c r="I26" i="268"/>
  <c r="J198" i="324"/>
  <c r="I27" i="268"/>
  <c r="J27" i="268"/>
  <c r="J209" i="324"/>
  <c r="C32" i="172"/>
  <c r="G11" i="180"/>
  <c r="G12" i="180"/>
  <c r="C34" i="172" s="1"/>
  <c r="C33" i="172"/>
  <c r="J26" i="268"/>
  <c r="I39" i="268"/>
  <c r="G13" i="180"/>
  <c r="C35" i="172" s="1"/>
  <c r="G14" i="180"/>
  <c r="C36" i="172" s="1"/>
  <c r="G15" i="180"/>
  <c r="C37" i="172" s="1"/>
  <c r="G16" i="180"/>
  <c r="G17" i="180"/>
  <c r="C39" i="172" s="1"/>
  <c r="C38" i="172"/>
  <c r="F107" i="330" l="1"/>
  <c r="I66" i="317"/>
  <c r="N53" i="317"/>
  <c r="N55" i="317" s="1"/>
  <c r="N67" i="317" s="1"/>
  <c r="F76" i="325"/>
  <c r="I8" i="269"/>
  <c r="E11" i="267"/>
  <c r="F39" i="182"/>
  <c r="F43" i="182" s="1"/>
  <c r="F45" i="182" s="1"/>
  <c r="F47" i="182" s="1"/>
  <c r="F49" i="182" s="1"/>
  <c r="G33" i="272"/>
  <c r="I33" i="272" s="1"/>
  <c r="J33" i="272" s="1"/>
  <c r="F40" i="272"/>
  <c r="F106" i="318"/>
  <c r="G39" i="181"/>
  <c r="G43" i="181" s="1"/>
  <c r="F75" i="330"/>
  <c r="G75" i="330"/>
  <c r="G53" i="330"/>
  <c r="F122" i="330"/>
  <c r="F85" i="330"/>
  <c r="F29" i="241"/>
  <c r="F49" i="241" s="1"/>
  <c r="F53" i="330"/>
  <c r="F26" i="241"/>
  <c r="F50" i="241" s="1"/>
  <c r="G49" i="318"/>
  <c r="G106" i="318"/>
  <c r="F49" i="318"/>
  <c r="I14" i="318"/>
  <c r="J14" i="318" s="1"/>
  <c r="K15" i="173"/>
  <c r="J52" i="267" s="1"/>
  <c r="E25" i="175"/>
  <c r="E26" i="175" s="1"/>
  <c r="D25" i="175"/>
  <c r="D26" i="175" s="1"/>
  <c r="I17" i="268"/>
  <c r="J17" i="268" s="1"/>
  <c r="F21" i="268"/>
  <c r="J57" i="268"/>
  <c r="I63" i="268"/>
  <c r="J63" i="268" s="1"/>
  <c r="G26" i="174"/>
  <c r="G7" i="174"/>
  <c r="F171" i="323"/>
  <c r="F339" i="323"/>
  <c r="C76" i="325"/>
  <c r="K7" i="325"/>
  <c r="K76" i="325" s="1"/>
  <c r="D7" i="325"/>
  <c r="D76" i="325" s="1"/>
  <c r="E7" i="325"/>
  <c r="E76" i="325" s="1"/>
  <c r="G7" i="325"/>
  <c r="G76" i="325" s="1"/>
  <c r="H7" i="325"/>
  <c r="H76" i="325" s="1"/>
  <c r="I7" i="325"/>
  <c r="J7" i="325" s="1"/>
  <c r="K7" i="326"/>
  <c r="K76" i="326" s="1"/>
  <c r="I76" i="326"/>
  <c r="J76" i="326" s="1"/>
  <c r="F8" i="180"/>
  <c r="J7" i="180"/>
  <c r="H7" i="180"/>
  <c r="I7" i="180" s="1"/>
  <c r="B29" i="172"/>
  <c r="I39" i="181"/>
  <c r="J39" i="181" s="1"/>
  <c r="Q55" i="317"/>
  <c r="O55" i="317"/>
  <c r="O67" i="317" s="1"/>
  <c r="P55" i="317"/>
  <c r="K55" i="317"/>
  <c r="I55" i="317"/>
  <c r="F55" i="317"/>
  <c r="E55" i="317"/>
  <c r="D55" i="317"/>
  <c r="L55" i="317"/>
  <c r="J55" i="317"/>
  <c r="J67" i="317" s="1"/>
  <c r="H55" i="317"/>
  <c r="G55" i="317"/>
  <c r="C55" i="317"/>
  <c r="C57" i="317" s="1"/>
  <c r="D56" i="317" s="1"/>
  <c r="O57" i="317"/>
  <c r="P56" i="317" s="1"/>
  <c r="P57" i="317" s="1"/>
  <c r="Q56" i="317" s="1"/>
  <c r="Q57" i="317" s="1"/>
  <c r="P67" i="317"/>
  <c r="K67" i="317"/>
  <c r="I67" i="317"/>
  <c r="F67" i="317"/>
  <c r="E67" i="317"/>
  <c r="D57" i="317"/>
  <c r="E56" i="317" s="1"/>
  <c r="E57" i="317" s="1"/>
  <c r="F56" i="317" s="1"/>
  <c r="F57" i="317" s="1"/>
  <c r="G56" i="317" s="1"/>
  <c r="G57" i="317" s="1"/>
  <c r="H56" i="317" s="1"/>
  <c r="L67" i="317"/>
  <c r="H67" i="317"/>
  <c r="G67" i="317"/>
  <c r="G102" i="318"/>
  <c r="I102" i="318" s="1"/>
  <c r="J102" i="318" s="1"/>
  <c r="D105" i="318"/>
  <c r="F104" i="318"/>
  <c r="I106" i="318"/>
  <c r="J106" i="318" s="1"/>
  <c r="J30" i="318"/>
  <c r="I49" i="318"/>
  <c r="J49" i="318" s="1"/>
  <c r="D49" i="269"/>
  <c r="J47" i="269"/>
  <c r="G49" i="269"/>
  <c r="E49" i="269"/>
  <c r="F49" i="269"/>
  <c r="H71" i="270"/>
  <c r="J71" i="270" s="1"/>
  <c r="J69" i="270"/>
  <c r="D71" i="270"/>
  <c r="F71" i="270"/>
  <c r="J12" i="238"/>
  <c r="J24" i="238" s="1"/>
  <c r="K19" i="175"/>
  <c r="C20" i="175"/>
  <c r="C25" i="175" s="1"/>
  <c r="C26" i="175" s="1"/>
  <c r="C37" i="177"/>
  <c r="C39" i="177" s="1"/>
  <c r="B46" i="267" s="1"/>
  <c r="K37" i="177"/>
  <c r="K39" i="177" s="1"/>
  <c r="J46" i="267" s="1"/>
  <c r="J43" i="267"/>
  <c r="H46" i="267"/>
  <c r="I46" i="267" s="1"/>
  <c r="E10" i="174"/>
  <c r="E39" i="268"/>
  <c r="H39" i="268"/>
  <c r="D39" i="268"/>
  <c r="F39" i="268"/>
  <c r="F40" i="268" s="1"/>
  <c r="K39" i="268"/>
  <c r="G343" i="324"/>
  <c r="I343" i="324" s="1"/>
  <c r="J343" i="324" s="1"/>
  <c r="D40" i="268"/>
  <c r="G39" i="268"/>
  <c r="J39" i="268"/>
  <c r="E40" i="268"/>
  <c r="K21" i="268"/>
  <c r="H21" i="268"/>
  <c r="H40" i="268" s="1"/>
  <c r="C21" i="268"/>
  <c r="C40" i="268" s="1"/>
  <c r="D46" i="174"/>
  <c r="D8" i="174" s="1"/>
  <c r="C86" i="242"/>
  <c r="C86" i="268"/>
  <c r="B28" i="267"/>
  <c r="C86" i="326"/>
  <c r="E86" i="268"/>
  <c r="F46" i="174"/>
  <c r="F8" i="174" s="1"/>
  <c r="E86" i="242"/>
  <c r="D28" i="267"/>
  <c r="E86" i="326"/>
  <c r="G21" i="268"/>
  <c r="G40" i="268" s="1"/>
  <c r="I10" i="268"/>
  <c r="D86" i="268"/>
  <c r="D86" i="242"/>
  <c r="E46" i="174"/>
  <c r="E8" i="174" s="1"/>
  <c r="C28" i="267"/>
  <c r="D86" i="326"/>
  <c r="H86" i="242"/>
  <c r="H86" i="268"/>
  <c r="G28" i="267"/>
  <c r="H86" i="326"/>
  <c r="C33" i="267"/>
  <c r="E33" i="267"/>
  <c r="G33" i="267"/>
  <c r="H33" i="267" s="1"/>
  <c r="I33" i="267" s="1"/>
  <c r="J20" i="267"/>
  <c r="J23" i="267" s="1"/>
  <c r="J25" i="267" s="1"/>
  <c r="F19" i="267"/>
  <c r="H18" i="267"/>
  <c r="I18" i="267" s="1"/>
  <c r="C20" i="267"/>
  <c r="C23" i="267" s="1"/>
  <c r="C25" i="267" s="1"/>
  <c r="G28" i="174"/>
  <c r="E20" i="267"/>
  <c r="E23" i="267" s="1"/>
  <c r="E25" i="267" s="1"/>
  <c r="I29" i="323"/>
  <c r="J29" i="323" s="1"/>
  <c r="G28" i="323"/>
  <c r="I6" i="323"/>
  <c r="J6" i="323" s="1"/>
  <c r="G72" i="323"/>
  <c r="G105" i="323"/>
  <c r="G174" i="323"/>
  <c r="K339" i="323"/>
  <c r="K341" i="323" s="1"/>
  <c r="G185" i="323"/>
  <c r="G207" i="323"/>
  <c r="I242" i="323"/>
  <c r="J242" i="323" s="1"/>
  <c r="G240" i="323"/>
  <c r="G295" i="323"/>
  <c r="J29" i="241"/>
  <c r="E49" i="241"/>
  <c r="E50" i="241"/>
  <c r="C72" i="330"/>
  <c r="E72" i="330"/>
  <c r="E142" i="330" s="1"/>
  <c r="K72" i="330"/>
  <c r="K142" i="330" s="1"/>
  <c r="J54" i="330"/>
  <c r="I53" i="330"/>
  <c r="J53" i="330" s="1"/>
  <c r="I20" i="241"/>
  <c r="J20" i="241" s="1"/>
  <c r="D72" i="330"/>
  <c r="D142" i="330" s="1"/>
  <c r="F72" i="330"/>
  <c r="H72" i="330"/>
  <c r="H142" i="330" s="1"/>
  <c r="I7" i="330"/>
  <c r="J7" i="330" s="1"/>
  <c r="I17" i="330"/>
  <c r="J17" i="330" s="1"/>
  <c r="I39" i="330"/>
  <c r="J39" i="330" s="1"/>
  <c r="I75" i="330"/>
  <c r="I76" i="330"/>
  <c r="J76" i="330" s="1"/>
  <c r="I86" i="330"/>
  <c r="J86" i="330" s="1"/>
  <c r="G11" i="330"/>
  <c r="G6" i="330" s="1"/>
  <c r="I108" i="330"/>
  <c r="J108" i="330" s="1"/>
  <c r="I123" i="330"/>
  <c r="G96" i="330"/>
  <c r="G112" i="330"/>
  <c r="G126" i="330"/>
  <c r="G122" i="330" s="1"/>
  <c r="A62" i="324"/>
  <c r="A207" i="323"/>
  <c r="A229" i="323"/>
  <c r="A251" i="323"/>
  <c r="A1" i="241"/>
  <c r="A1" i="331"/>
  <c r="A1" i="242"/>
  <c r="A1" i="323"/>
  <c r="B4" i="331"/>
  <c r="B8" i="331" s="1"/>
  <c r="A1" i="181"/>
  <c r="A1" i="267"/>
  <c r="A1" i="270"/>
  <c r="A1" i="251"/>
  <c r="A1" i="175"/>
  <c r="A1" i="238"/>
  <c r="A1" i="328"/>
  <c r="A1" i="317"/>
  <c r="A1" i="324"/>
  <c r="A1" i="178"/>
  <c r="A1" i="333"/>
  <c r="A1" i="269"/>
  <c r="A1" i="325"/>
  <c r="A1" i="268"/>
  <c r="A1" i="182"/>
  <c r="A1" i="330"/>
  <c r="A1" i="318"/>
  <c r="A1" i="173"/>
  <c r="A1" i="183"/>
  <c r="A1" i="180"/>
  <c r="A1" i="326"/>
  <c r="A1" i="177"/>
  <c r="A1" i="174"/>
  <c r="A1" i="272"/>
  <c r="I43" i="181" l="1"/>
  <c r="J43" i="181" s="1"/>
  <c r="G45" i="181"/>
  <c r="I45" i="181" s="1"/>
  <c r="J45" i="181" s="1"/>
  <c r="G104" i="318"/>
  <c r="I104" i="318" s="1"/>
  <c r="J104" i="318" s="1"/>
  <c r="J8" i="269"/>
  <c r="I28" i="269"/>
  <c r="F141" i="330"/>
  <c r="F142" i="330" s="1"/>
  <c r="I76" i="325"/>
  <c r="J76" i="325" s="1"/>
  <c r="H57" i="317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N57" i="317" s="1"/>
  <c r="F341" i="323"/>
  <c r="B30" i="172"/>
  <c r="J8" i="180"/>
  <c r="F9" i="180"/>
  <c r="H8" i="180"/>
  <c r="I8" i="180"/>
  <c r="C81" i="172"/>
  <c r="B81" i="172" s="1"/>
  <c r="K20" i="175"/>
  <c r="K25" i="175" s="1"/>
  <c r="K26" i="175" s="1"/>
  <c r="F86" i="242"/>
  <c r="E28" i="267"/>
  <c r="F86" i="268"/>
  <c r="F86" i="326"/>
  <c r="K40" i="268"/>
  <c r="J10" i="268"/>
  <c r="I21" i="268"/>
  <c r="G86" i="268"/>
  <c r="G46" i="174"/>
  <c r="G8" i="174" s="1"/>
  <c r="F28" i="267"/>
  <c r="H28" i="267" s="1"/>
  <c r="I28" i="267" s="1"/>
  <c r="G86" i="326"/>
  <c r="G86" i="242"/>
  <c r="F20" i="267"/>
  <c r="H19" i="267"/>
  <c r="I19" i="267" s="1"/>
  <c r="I295" i="323"/>
  <c r="J295" i="323" s="1"/>
  <c r="G35" i="272"/>
  <c r="I35" i="272" s="1"/>
  <c r="J35" i="272" s="1"/>
  <c r="I185" i="323"/>
  <c r="J185" i="323" s="1"/>
  <c r="G25" i="272"/>
  <c r="I25" i="272" s="1"/>
  <c r="J25" i="272" s="1"/>
  <c r="G339" i="323"/>
  <c r="I339" i="323" s="1"/>
  <c r="J339" i="323" s="1"/>
  <c r="I174" i="323"/>
  <c r="J174" i="323" s="1"/>
  <c r="G24" i="272"/>
  <c r="I72" i="323"/>
  <c r="J72" i="323" s="1"/>
  <c r="G12" i="272"/>
  <c r="I12" i="272" s="1"/>
  <c r="J12" i="272" s="1"/>
  <c r="I240" i="323"/>
  <c r="J240" i="323" s="1"/>
  <c r="G30" i="272"/>
  <c r="I30" i="272" s="1"/>
  <c r="J30" i="272" s="1"/>
  <c r="I207" i="323"/>
  <c r="J207" i="323" s="1"/>
  <c r="G27" i="272"/>
  <c r="I27" i="272" s="1"/>
  <c r="J27" i="272" s="1"/>
  <c r="I105" i="323"/>
  <c r="J105" i="323" s="1"/>
  <c r="G15" i="272"/>
  <c r="I15" i="272" s="1"/>
  <c r="J15" i="272" s="1"/>
  <c r="G171" i="323"/>
  <c r="I28" i="323"/>
  <c r="J28" i="323" s="1"/>
  <c r="G8" i="272"/>
  <c r="G72" i="330"/>
  <c r="I6" i="330"/>
  <c r="J6" i="330" s="1"/>
  <c r="I96" i="330"/>
  <c r="J96" i="330" s="1"/>
  <c r="G36" i="241"/>
  <c r="I112" i="330"/>
  <c r="J112" i="330" s="1"/>
  <c r="G41" i="241"/>
  <c r="J123" i="330"/>
  <c r="G107" i="330"/>
  <c r="I107" i="330" s="1"/>
  <c r="J107" i="330" s="1"/>
  <c r="G85" i="330"/>
  <c r="C142" i="330"/>
  <c r="C150" i="330"/>
  <c r="I126" i="330"/>
  <c r="J126" i="330" s="1"/>
  <c r="G45" i="241"/>
  <c r="I11" i="330"/>
  <c r="J11" i="330" s="1"/>
  <c r="G9" i="241"/>
  <c r="J75" i="330"/>
  <c r="J28" i="269" l="1"/>
  <c r="I49" i="269"/>
  <c r="J49" i="269" s="1"/>
  <c r="I122" i="330"/>
  <c r="J122" i="330" s="1"/>
  <c r="B31" i="172"/>
  <c r="H9" i="180"/>
  <c r="J9" i="180"/>
  <c r="I9" i="180"/>
  <c r="F10" i="180"/>
  <c r="K86" i="326"/>
  <c r="J28" i="267"/>
  <c r="H46" i="174"/>
  <c r="H8" i="174" s="1"/>
  <c r="K86" i="242"/>
  <c r="K86" i="268"/>
  <c r="J21" i="268"/>
  <c r="I40" i="268"/>
  <c r="J40" i="268" s="1"/>
  <c r="H20" i="267"/>
  <c r="I20" i="267" s="1"/>
  <c r="F23" i="267"/>
  <c r="I8" i="272"/>
  <c r="G21" i="272"/>
  <c r="G341" i="323"/>
  <c r="I341" i="323" s="1"/>
  <c r="J341" i="323" s="1"/>
  <c r="I171" i="323"/>
  <c r="J171" i="323" s="1"/>
  <c r="G39" i="272"/>
  <c r="I24" i="272"/>
  <c r="I9" i="241"/>
  <c r="J9" i="241" s="1"/>
  <c r="G6" i="241"/>
  <c r="I85" i="330"/>
  <c r="G141" i="330"/>
  <c r="G142" i="330" s="1"/>
  <c r="I142" i="330" s="1"/>
  <c r="J142" i="330" s="1"/>
  <c r="I41" i="241"/>
  <c r="J41" i="241" s="1"/>
  <c r="G39" i="241"/>
  <c r="I39" i="241" s="1"/>
  <c r="J39" i="241" s="1"/>
  <c r="G33" i="241"/>
  <c r="I36" i="241"/>
  <c r="J36" i="241" s="1"/>
  <c r="I45" i="241"/>
  <c r="G43" i="241"/>
  <c r="I72" i="330"/>
  <c r="J72" i="330" s="1"/>
  <c r="B32" i="172" l="1"/>
  <c r="J10" i="180"/>
  <c r="H10" i="180"/>
  <c r="I10" i="180"/>
  <c r="F25" i="267"/>
  <c r="H25" i="267" s="1"/>
  <c r="I25" i="267" s="1"/>
  <c r="H23" i="267"/>
  <c r="I23" i="267" s="1"/>
  <c r="J24" i="272"/>
  <c r="I39" i="272"/>
  <c r="J39" i="272" s="1"/>
  <c r="G40" i="272"/>
  <c r="J8" i="272"/>
  <c r="I21" i="272"/>
  <c r="I6" i="241"/>
  <c r="G26" i="241"/>
  <c r="J45" i="241"/>
  <c r="I43" i="241"/>
  <c r="J43" i="241" s="1"/>
  <c r="I33" i="241"/>
  <c r="G49" i="241"/>
  <c r="J85" i="330"/>
  <c r="I141" i="330"/>
  <c r="J141" i="330" s="1"/>
  <c r="I40" i="272" l="1"/>
  <c r="J40" i="272" s="1"/>
  <c r="J21" i="272"/>
  <c r="G50" i="241"/>
  <c r="J33" i="241"/>
  <c r="I49" i="241"/>
  <c r="J49" i="241" s="1"/>
  <c r="I26" i="241"/>
  <c r="J6" i="241"/>
  <c r="J26" i="241" l="1"/>
  <c r="I50" i="241"/>
  <c r="J50" i="241" s="1"/>
</calcChain>
</file>

<file path=xl/sharedStrings.xml><?xml version="1.0" encoding="utf-8"?>
<sst xmlns="http://schemas.openxmlformats.org/spreadsheetml/2006/main" count="2256" uniqueCount="1431">
  <si>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</si>
  <si>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</si>
  <si>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</si>
  <si>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</si>
  <si>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</si>
  <si>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</si>
  <si>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</si>
  <si>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</si>
  <si>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</si>
  <si>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</si>
  <si>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</si>
  <si>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</si>
  <si>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</si>
  <si>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</si>
  <si>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</si>
  <si>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</si>
  <si>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</si>
  <si>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</si>
  <si>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</si>
  <si>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</si>
  <si>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</si>
  <si>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</si>
  <si>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</si>
  <si>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</si>
  <si>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Debtors Age Analysis By Customer Category</t>
  </si>
  <si>
    <t>Total By Customer Category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</si>
  <si>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</si>
  <si>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</si>
  <si>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</si>
  <si>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</si>
  <si>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</si>
  <si>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</si>
  <si>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</si>
  <si>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</si>
  <si>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</si>
  <si>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</si>
  <si>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</si>
  <si>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</si>
  <si>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</si>
  <si>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</si>
  <si>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</si>
  <si>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</si>
  <si>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</si>
  <si>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</si>
  <si>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</si>
  <si>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</si>
  <si>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</si>
  <si>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</si>
  <si>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</si>
  <si>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</si>
  <si>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</si>
  <si>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</si>
  <si>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</si>
  <si>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</si>
  <si>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</si>
  <si>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</si>
  <si>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</si>
  <si>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</si>
  <si>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</si>
  <si>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</si>
  <si>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</si>
  <si>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</si>
  <si>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</si>
  <si>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</si>
  <si>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</si>
  <si>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</si>
  <si>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</si>
  <si>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</si>
  <si>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</si>
  <si>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</si>
  <si>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</si>
  <si>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</si>
  <si>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</si>
  <si>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</si>
  <si>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</si>
  <si>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</si>
  <si>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</si>
  <si>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</si>
  <si>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</si>
  <si>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</si>
  <si>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</si>
  <si>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</si>
  <si>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</si>
  <si>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</si>
  <si>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</si>
  <si>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</si>
  <si>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</si>
  <si>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</si>
  <si>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</si>
  <si>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</si>
  <si>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</si>
  <si>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</si>
  <si>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</si>
  <si>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</si>
  <si>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</si>
  <si>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</si>
  <si>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</si>
  <si>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</si>
  <si>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</si>
  <si>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</si>
  <si>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</si>
  <si>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</si>
  <si>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</si>
  <si>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</si>
  <si>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</si>
  <si>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</si>
  <si>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</si>
  <si>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</si>
  <si>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</si>
  <si>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</si>
  <si>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</si>
  <si>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</si>
  <si>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</si>
  <si>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</si>
  <si>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</si>
  <si>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SC7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</si>
  <si>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</si>
  <si>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</si>
  <si>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</si>
  <si>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</si>
  <si>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</si>
  <si>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</si>
  <si>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</si>
  <si>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</si>
  <si>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</si>
  <si>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</si>
  <si>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</si>
  <si>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</si>
  <si>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</si>
  <si>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</si>
  <si>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</si>
  <si>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</si>
  <si>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</si>
  <si>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</si>
  <si>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</si>
  <si>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</si>
  <si>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</si>
  <si>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</si>
  <si>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</si>
  <si>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</si>
  <si>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</si>
  <si>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</si>
  <si>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</si>
  <si>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</si>
  <si>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</si>
  <si>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</si>
  <si>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</si>
  <si>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</si>
  <si>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</si>
  <si>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</si>
  <si>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</si>
  <si>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</si>
  <si>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</si>
  <si>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</si>
  <si>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</si>
  <si>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</si>
  <si>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</si>
  <si>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</si>
  <si>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</si>
  <si>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</si>
  <si>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</si>
  <si>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</si>
  <si>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</si>
  <si>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</si>
  <si>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</si>
  <si>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</si>
  <si>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</si>
  <si>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</si>
  <si>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</si>
  <si>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</si>
  <si>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</si>
  <si>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</si>
  <si>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</si>
  <si>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</si>
  <si>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</si>
  <si>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</si>
  <si>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</si>
  <si>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</si>
  <si>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</si>
  <si>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</si>
  <si>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</si>
  <si>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</si>
  <si>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</si>
  <si>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</si>
  <si>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</si>
  <si>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</si>
  <si>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</si>
  <si>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</si>
  <si>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</si>
  <si>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</si>
  <si>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</si>
  <si>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</si>
  <si>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</si>
  <si>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</si>
  <si>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</si>
  <si>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</si>
  <si>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</si>
  <si>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</si>
  <si>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</si>
  <si>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</si>
  <si>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</si>
  <si>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</si>
  <si>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</si>
  <si>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</si>
  <si>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</si>
  <si>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</si>
  <si>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</si>
  <si>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</si>
  <si>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</si>
  <si>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</si>
  <si>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</si>
  <si>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</si>
  <si>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</si>
  <si>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</si>
  <si>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</si>
  <si>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</si>
  <si>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</si>
  <si>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</si>
  <si>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</si>
  <si>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</si>
  <si>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</si>
  <si>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</si>
  <si>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</si>
  <si>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</si>
  <si>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</si>
  <si>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</si>
  <si>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</si>
  <si>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</si>
  <si>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</si>
  <si>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</si>
  <si>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</si>
  <si>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</si>
  <si>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</si>
  <si>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</si>
  <si>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</si>
  <si>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</si>
  <si>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</si>
  <si>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</si>
  <si>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</si>
  <si>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</si>
  <si>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</si>
  <si>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</si>
  <si>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</si>
  <si>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</si>
  <si>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</si>
  <si>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</si>
  <si>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</si>
  <si>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</si>
  <si>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</si>
  <si>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</si>
  <si>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</si>
  <si>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</si>
  <si>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</si>
  <si>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</si>
  <si>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</si>
  <si>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</si>
  <si>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</si>
  <si>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</si>
  <si>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</si>
  <si>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</si>
  <si>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</si>
  <si>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</si>
  <si>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</si>
  <si>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</si>
  <si>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</si>
  <si>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</si>
  <si>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</si>
  <si>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</si>
  <si>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</si>
  <si>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</si>
  <si>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</si>
  <si>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</si>
  <si>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</si>
  <si>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</si>
  <si>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</si>
  <si>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</si>
  <si>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</si>
  <si>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</si>
  <si>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</si>
  <si>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</si>
  <si>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</si>
  <si>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</si>
  <si>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</si>
  <si>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</si>
  <si>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</si>
  <si>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</si>
  <si>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</si>
  <si>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</si>
  <si>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</si>
  <si>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</si>
  <si>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</si>
  <si>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</si>
  <si>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</si>
  <si>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</si>
  <si>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</si>
  <si>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</si>
  <si>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</si>
  <si>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</si>
  <si>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</si>
  <si>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</si>
  <si>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</si>
  <si>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</si>
  <si>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</si>
  <si>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</si>
  <si>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</si>
  <si>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</si>
  <si>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</si>
  <si>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</si>
  <si>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</si>
  <si>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</si>
  <si>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</si>
  <si>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</si>
  <si>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</si>
  <si>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</si>
  <si>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</si>
  <si>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</si>
  <si>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</si>
  <si>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</si>
  <si>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</si>
  <si>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</si>
  <si>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</si>
  <si>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</si>
  <si>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</si>
  <si>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</si>
  <si>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</si>
  <si>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</si>
  <si>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</si>
  <si>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</si>
  <si>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</si>
  <si>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</si>
  <si>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</si>
  <si>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</si>
  <si>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</si>
  <si>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</si>
  <si>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</si>
  <si>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</si>
  <si>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</si>
  <si>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</si>
  <si>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</si>
  <si>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</si>
  <si>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</si>
  <si>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</si>
  <si>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</si>
  <si>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</si>
  <si>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</si>
  <si>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</si>
  <si>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</si>
  <si>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</si>
  <si>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</si>
  <si>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</si>
  <si>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</si>
  <si>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</si>
  <si>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</si>
  <si>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</si>
  <si>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</si>
  <si>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</si>
  <si>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</si>
  <si>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</si>
  <si>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</si>
  <si>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</si>
  <si>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</si>
  <si>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</si>
  <si>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</si>
  <si>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</si>
  <si>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</si>
  <si>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</si>
  <si>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</si>
  <si>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</si>
  <si>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</si>
  <si>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</si>
  <si>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</si>
  <si>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</si>
  <si>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</si>
  <si>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</si>
  <si>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</si>
  <si>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</si>
  <si>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</si>
  <si>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</si>
  <si>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</si>
  <si>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</si>
  <si>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</si>
  <si>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</si>
  <si>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</si>
  <si>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</si>
  <si>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</si>
  <si>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</si>
  <si>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</si>
  <si>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</si>
  <si>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</si>
  <si>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</si>
  <si>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</si>
  <si>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</si>
  <si>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</si>
  <si>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</si>
  <si>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</si>
  <si>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</si>
  <si>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</si>
  <si>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</si>
  <si>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</si>
  <si>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</si>
  <si>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</si>
  <si>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</si>
  <si>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</si>
  <si>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</si>
  <si>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</si>
  <si>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</si>
  <si>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</si>
  <si>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</si>
  <si>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</si>
  <si>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</si>
  <si>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</si>
  <si>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</si>
  <si>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</si>
  <si>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</si>
  <si>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</si>
  <si>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</si>
  <si>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</si>
  <si>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</si>
  <si>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</si>
  <si>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</si>
  <si>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</si>
  <si>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</si>
  <si>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</si>
  <si>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</si>
  <si>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</si>
  <si>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</si>
  <si>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</si>
  <si>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</si>
  <si>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</si>
  <si>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</si>
  <si>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</si>
  <si>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</si>
  <si>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</si>
  <si>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</si>
  <si>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</si>
  <si>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</si>
  <si>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</si>
  <si>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</si>
  <si>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</si>
  <si>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</si>
  <si>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</si>
  <si>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</si>
  <si>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</si>
  <si>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</si>
  <si>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</si>
  <si>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</si>
  <si>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</si>
  <si>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</si>
  <si>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</si>
  <si>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</si>
  <si>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</si>
  <si>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</si>
  <si>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</si>
  <si>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</si>
  <si>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</si>
  <si>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</si>
  <si>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</si>
  <si>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</si>
  <si>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</si>
  <si>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</si>
  <si>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</si>
  <si>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</si>
  <si>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</si>
  <si>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</si>
  <si>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</si>
  <si>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</si>
  <si>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</si>
  <si>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</si>
  <si>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</si>
  <si>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</si>
  <si>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</si>
  <si>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</si>
  <si>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</si>
  <si>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</si>
  <si>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</si>
  <si>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</si>
  <si>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</si>
  <si>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</si>
  <si>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</si>
  <si>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</si>
  <si>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</si>
  <si>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</si>
  <si>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</si>
  <si>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</si>
  <si>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</si>
  <si>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</si>
  <si>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</si>
  <si>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</si>
  <si>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</si>
  <si>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</si>
  <si>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</si>
  <si>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</si>
  <si>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</si>
  <si>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</si>
  <si>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</si>
  <si>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</si>
  <si>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</si>
  <si>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</si>
  <si>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</si>
  <si>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</si>
  <si>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</si>
  <si>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</si>
  <si>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</si>
  <si>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</si>
  <si>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</si>
  <si>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</si>
  <si>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</si>
  <si>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</si>
  <si>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</si>
  <si>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</si>
  <si>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</si>
  <si>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</si>
  <si>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</si>
  <si>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</si>
  <si>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</si>
  <si>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</si>
  <si>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</si>
  <si>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</si>
  <si>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</si>
  <si>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</si>
  <si>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</si>
  <si>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</si>
  <si>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</si>
  <si>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</si>
  <si>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</si>
  <si>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</si>
  <si>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</si>
  <si>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</si>
  <si>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</si>
  <si>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</si>
  <si>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</si>
  <si>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</si>
  <si>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</si>
  <si>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</si>
  <si>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</si>
  <si>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</si>
  <si>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</si>
  <si>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</si>
  <si>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</si>
  <si>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</si>
  <si>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</si>
  <si>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</si>
  <si>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</si>
  <si>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</si>
  <si>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</si>
  <si>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</si>
  <si>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</si>
  <si>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</si>
  <si>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</si>
  <si>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</si>
  <si>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</si>
  <si>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</si>
  <si>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</si>
  <si>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</si>
  <si>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</si>
  <si>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</si>
  <si>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</si>
  <si>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</si>
  <si>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</si>
  <si>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</si>
  <si>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</si>
  <si>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</si>
  <si>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</si>
  <si>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</si>
  <si>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</si>
  <si>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</si>
  <si>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</si>
  <si>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</si>
  <si>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</si>
  <si>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</si>
  <si>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</si>
  <si>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</si>
  <si>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</si>
  <si>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</si>
  <si>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</si>
  <si>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</si>
  <si>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</si>
  <si>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</si>
  <si>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</si>
  <si>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</si>
  <si>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</si>
  <si>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</si>
  <si>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</si>
  <si>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</si>
  <si>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</si>
  <si>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</si>
  <si>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</si>
  <si>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</si>
  <si>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</si>
  <si>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</si>
  <si>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</si>
  <si>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</si>
  <si>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</si>
  <si>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</si>
  <si>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</si>
  <si>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</si>
  <si>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</si>
  <si>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</si>
  <si>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</si>
  <si>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</si>
  <si>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</si>
  <si>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</si>
  <si>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</si>
  <si>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</si>
  <si>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</si>
  <si>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</si>
  <si>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</si>
  <si>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</si>
  <si>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</si>
  <si>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</si>
  <si>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</si>
  <si>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</si>
  <si>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</si>
  <si>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</si>
  <si>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</si>
  <si>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</si>
  <si>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</si>
  <si>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</si>
  <si>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</si>
  <si>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</si>
  <si>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</si>
  <si>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</si>
  <si>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</si>
  <si>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</si>
  <si>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</si>
  <si>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</si>
  <si>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</si>
  <si>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</si>
  <si>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</si>
  <si>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</si>
  <si>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</si>
  <si>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</si>
  <si>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</si>
  <si>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</si>
  <si>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</si>
  <si>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</si>
  <si>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</si>
  <si>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</si>
  <si>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</si>
  <si>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</si>
  <si>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</si>
  <si>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</si>
  <si>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</si>
  <si>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</si>
  <si>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</si>
  <si>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</si>
  <si>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</si>
  <si>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</si>
  <si>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</si>
  <si>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</si>
  <si>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</si>
  <si>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</si>
  <si>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</si>
  <si>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</si>
  <si>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</si>
  <si>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</si>
  <si>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</si>
  <si>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</si>
  <si>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</si>
  <si>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</si>
  <si>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</si>
  <si>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</si>
  <si>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</si>
  <si>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</si>
  <si>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</si>
  <si>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</si>
  <si>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</si>
  <si>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</si>
  <si>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</si>
  <si>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</si>
  <si>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</si>
  <si>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</si>
  <si>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Total by Revenue Source must reconcile with Total by Customer Group</t>
  </si>
  <si>
    <t>2. Total market value must reconcile with the total of investments on the 'Financial Position statement'</t>
  </si>
  <si>
    <t>Other transfers and grants [insert description]</t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</si>
  <si>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</si>
  <si>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</si>
  <si>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</si>
  <si>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</si>
  <si>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</si>
  <si>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</si>
  <si>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</si>
  <si>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</si>
  <si>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</si>
  <si>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</si>
  <si>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</si>
  <si>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</si>
  <si>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</si>
  <si>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</si>
  <si>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</si>
  <si>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</si>
  <si>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</si>
  <si>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</si>
  <si>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</si>
  <si>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</si>
  <si>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</si>
  <si>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</si>
  <si>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</si>
  <si>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</si>
  <si>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</si>
  <si>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</si>
  <si>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</si>
  <si>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</si>
  <si>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</si>
  <si>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</si>
  <si>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</si>
  <si>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</si>
  <si>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</si>
  <si>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</si>
  <si>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</si>
  <si>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</si>
  <si>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</si>
  <si>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</si>
  <si>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</si>
  <si>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</si>
  <si>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</si>
  <si>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</si>
  <si>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Rates</t>
  </si>
  <si>
    <t>Sewerage / Sanitation</t>
  </si>
  <si>
    <t>Refuse Removal</t>
  </si>
  <si>
    <t>Housing (Rental Revenue)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</si>
  <si>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</si>
  <si>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</si>
  <si>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</si>
  <si>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</si>
  <si>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</si>
  <si>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</si>
  <si>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</si>
  <si>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</si>
  <si>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</si>
  <si>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</si>
  <si>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</si>
  <si>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</si>
  <si>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</si>
  <si>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</si>
  <si>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</si>
  <si>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</si>
  <si>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</si>
  <si>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</si>
  <si>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</si>
  <si>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</si>
  <si>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</si>
  <si>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</si>
  <si>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</si>
  <si>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</si>
  <si>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</si>
  <si>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</si>
  <si>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</si>
  <si>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</si>
  <si>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</si>
  <si>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</si>
  <si>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</si>
  <si>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</si>
  <si>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</si>
  <si>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</si>
  <si>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</si>
  <si>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</si>
  <si>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</si>
  <si>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</si>
  <si>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</si>
  <si>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</si>
  <si>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</si>
  <si>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</si>
  <si>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</si>
  <si>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</si>
  <si>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</si>
  <si>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</si>
  <si>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</si>
  <si>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</si>
  <si>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</si>
  <si>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</si>
  <si>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</si>
  <si>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</si>
  <si>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</si>
  <si>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</si>
  <si>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</si>
  <si>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</si>
  <si>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</si>
  <si>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</si>
  <si>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</si>
  <si>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</si>
  <si>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</si>
  <si>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</si>
  <si>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</si>
  <si>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</si>
  <si>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</si>
  <si>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</si>
  <si>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</si>
  <si>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</si>
  <si>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</si>
  <si>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</si>
  <si>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</si>
  <si>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</si>
  <si>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</si>
  <si>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</si>
  <si>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</si>
  <si>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</si>
  <si>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</si>
  <si>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</si>
  <si>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</si>
  <si>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</si>
  <si>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</si>
  <si>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</si>
  <si>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</si>
  <si>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</si>
  <si>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</si>
  <si>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</si>
  <si>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</si>
  <si>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</si>
  <si>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</si>
  <si>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</si>
  <si>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</si>
  <si>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</si>
  <si>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</si>
  <si>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</si>
  <si>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</si>
  <si>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</si>
  <si>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</si>
  <si>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</si>
  <si>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</si>
  <si>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</si>
  <si>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</si>
  <si>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</si>
  <si>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</si>
  <si>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</si>
  <si>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</si>
  <si>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</si>
  <si>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</si>
  <si>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</si>
  <si>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</si>
  <si>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</si>
  <si>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</si>
  <si>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</si>
  <si>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</si>
  <si>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</si>
  <si>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</si>
  <si>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</si>
  <si>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</si>
  <si>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</si>
  <si>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2000</t>
  </si>
  <si>
    <t>Government</t>
  </si>
  <si>
    <t>2200</t>
  </si>
  <si>
    <t>Business</t>
  </si>
  <si>
    <t>2300</t>
  </si>
  <si>
    <t>Households</t>
  </si>
  <si>
    <t>2400</t>
  </si>
  <si>
    <t>2500</t>
  </si>
  <si>
    <t>2600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</si>
  <si>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</si>
  <si>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</si>
  <si>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</si>
  <si>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</si>
  <si>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</si>
  <si>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</si>
  <si>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</si>
  <si>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</si>
  <si>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</si>
  <si>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</si>
  <si>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</si>
  <si>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</si>
  <si>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</si>
  <si>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</si>
  <si>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</si>
  <si>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</si>
  <si>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</si>
  <si>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</si>
  <si>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</si>
  <si>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</si>
  <si>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</si>
  <si>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</si>
  <si>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</si>
  <si>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</si>
  <si>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</si>
  <si>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</si>
  <si>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</si>
  <si>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</si>
  <si>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</si>
  <si>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</si>
  <si>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</si>
  <si>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</si>
  <si>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</si>
  <si>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</si>
  <si>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</si>
  <si>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</si>
  <si>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</si>
  <si>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</si>
  <si>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</si>
  <si>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</si>
  <si>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</si>
  <si>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</si>
  <si>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</si>
  <si>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</si>
  <si>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</si>
  <si>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</si>
  <si>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</si>
  <si>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</si>
  <si>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</si>
  <si>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</si>
  <si>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</si>
  <si>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Bad 
Debts</t>
  </si>
  <si>
    <t>NT Code</t>
  </si>
  <si>
    <t>1300</t>
  </si>
  <si>
    <t>1500</t>
  </si>
  <si>
    <t>1600</t>
  </si>
  <si>
    <t>1700</t>
  </si>
  <si>
    <t>1900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</si>
  <si>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</si>
  <si>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</si>
  <si>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</si>
  <si>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</si>
  <si>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</si>
  <si>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</si>
  <si>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</si>
  <si>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</si>
  <si>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</si>
  <si>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</si>
  <si>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</si>
  <si>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</si>
  <si>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</si>
  <si>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</si>
  <si>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</si>
  <si>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</si>
  <si>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</si>
  <si>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</si>
  <si>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</si>
  <si>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</si>
  <si>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</si>
  <si>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</si>
  <si>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</si>
  <si>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</si>
  <si>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</si>
  <si>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</si>
  <si>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</si>
  <si>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</si>
  <si>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</si>
  <si>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</si>
  <si>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</si>
  <si>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</si>
  <si>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</si>
  <si>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</si>
  <si>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</si>
  <si>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</si>
  <si>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</si>
  <si>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</si>
  <si>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</si>
  <si>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</si>
  <si>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</si>
  <si>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</si>
  <si>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</si>
  <si>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</si>
  <si>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</si>
  <si>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</si>
  <si>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</si>
  <si>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</si>
  <si>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</si>
  <si>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</si>
  <si>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</si>
  <si>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</si>
  <si>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</si>
  <si>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</si>
  <si>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</si>
  <si>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</si>
  <si>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</si>
  <si>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</si>
  <si>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</si>
  <si>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</si>
  <si>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</si>
  <si>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</si>
  <si>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</si>
  <si>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</si>
  <si>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</si>
  <si>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</si>
  <si>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</si>
  <si>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</si>
  <si>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</si>
  <si>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</si>
  <si>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</si>
  <si>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</si>
  <si>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</si>
  <si>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</si>
  <si>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</si>
  <si>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</si>
  <si>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</si>
  <si>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</si>
  <si>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</si>
  <si>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</si>
  <si>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</si>
  <si>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</si>
  <si>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</si>
  <si>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</si>
  <si>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</si>
  <si>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</si>
  <si>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</si>
  <si>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</si>
  <si>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</si>
  <si>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</si>
  <si>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</si>
  <si>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</si>
  <si>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</si>
  <si>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</si>
  <si>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</si>
  <si>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</si>
  <si>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</si>
  <si>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</si>
  <si>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</si>
  <si>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</si>
  <si>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</si>
  <si>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</si>
  <si>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</si>
  <si>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</si>
  <si>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</si>
  <si>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</si>
  <si>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</si>
  <si>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</si>
  <si>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</si>
  <si>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</si>
  <si>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</si>
  <si>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</si>
  <si>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</si>
  <si>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</si>
  <si>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</si>
  <si>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</si>
  <si>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</si>
  <si>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</si>
  <si>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</si>
  <si>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</si>
  <si>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</si>
  <si>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</si>
  <si>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</si>
  <si>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</si>
  <si>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</si>
  <si>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</si>
  <si>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</si>
  <si>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</si>
  <si>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</si>
  <si>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</si>
  <si>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</si>
  <si>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</si>
  <si>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</si>
  <si>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</si>
  <si>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</si>
  <si>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</si>
  <si>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</si>
  <si>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</si>
  <si>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</si>
  <si>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</si>
  <si>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</si>
  <si>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</si>
  <si>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</si>
  <si>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</si>
  <si>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</si>
  <si>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</si>
  <si>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</si>
  <si>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</si>
  <si>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</si>
  <si>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</si>
  <si>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</si>
  <si>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</si>
  <si>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</si>
  <si>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</si>
  <si>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</si>
  <si>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</si>
  <si>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</si>
  <si>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</si>
  <si>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</si>
  <si>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</si>
  <si>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</si>
  <si>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</si>
  <si>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</si>
  <si>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</si>
  <si>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</si>
  <si>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</si>
  <si>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</si>
  <si>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</si>
  <si>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</si>
  <si>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</si>
  <si>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</si>
  <si>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</si>
  <si>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</si>
  <si>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</si>
  <si>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</si>
  <si>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</si>
  <si>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</si>
  <si>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</si>
  <si>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</si>
  <si>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</si>
  <si>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</si>
  <si>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</si>
  <si>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</si>
  <si>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</si>
  <si>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&gt;90 days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</si>
  <si>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</si>
  <si>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</si>
  <si>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</si>
  <si>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</si>
  <si>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</si>
  <si>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</si>
  <si>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</si>
  <si>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</si>
  <si>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</si>
  <si>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</si>
  <si>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</si>
  <si>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</si>
  <si>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</si>
  <si>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</si>
  <si>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</si>
  <si>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</si>
  <si>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</si>
  <si>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</si>
  <si>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</si>
  <si>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</si>
  <si>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</si>
  <si>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</si>
  <si>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</si>
  <si>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</si>
  <si>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</si>
  <si>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</si>
  <si>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</si>
  <si>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Age Analysis By Revenue Source</t>
  </si>
  <si>
    <t>Total By Revenue Source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</si>
  <si>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</si>
  <si>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</si>
  <si>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</si>
  <si>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</si>
  <si>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</si>
  <si>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</si>
  <si>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</si>
  <si>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</si>
  <si>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</si>
  <si>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</si>
  <si>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</si>
  <si>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</si>
  <si>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</si>
  <si>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</si>
  <si>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</si>
  <si>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</si>
  <si>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</si>
  <si>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</si>
  <si>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</si>
  <si>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</si>
  <si>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</si>
  <si>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</si>
  <si>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</si>
  <si>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</si>
  <si>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</si>
  <si>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</si>
  <si>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</si>
  <si>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</si>
  <si>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</si>
  <si>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</si>
  <si>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</si>
  <si>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</si>
  <si>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</si>
  <si>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</si>
  <si>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</si>
  <si>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</si>
  <si>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</si>
  <si>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</si>
  <si>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</si>
  <si>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</si>
  <si>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</si>
  <si>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</si>
  <si>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</si>
  <si>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</si>
  <si>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</si>
  <si>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</si>
  <si>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</si>
  <si>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</si>
  <si>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</si>
  <si>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</si>
  <si>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</si>
  <si>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</si>
  <si>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</si>
  <si>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</si>
  <si>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</si>
  <si>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</si>
  <si>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</si>
  <si>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</si>
  <si>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</si>
  <si>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</si>
  <si>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</si>
  <si>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</si>
  <si>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</si>
  <si>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</si>
  <si>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</si>
  <si>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</si>
  <si>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</si>
  <si>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</si>
  <si>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</si>
  <si>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</si>
  <si>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</si>
  <si>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</si>
  <si>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</si>
  <si>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</si>
  <si>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</si>
  <si>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</si>
  <si>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</si>
  <si>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</si>
  <si>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</si>
  <si>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</si>
  <si>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</si>
  <si>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</si>
  <si>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</si>
  <si>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</si>
  <si>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</si>
  <si>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15.10</t>
  </si>
  <si>
    <t>15.1 - [Name of sub-vote]</t>
  </si>
  <si>
    <t>14.10</t>
  </si>
  <si>
    <t>14.1 - [Name of sub-vote]</t>
  </si>
  <si>
    <t>13.10</t>
  </si>
  <si>
    <t>13.1 - [Name of sub-vote]</t>
  </si>
  <si>
    <t>12.10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</si>
  <si>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</si>
  <si>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</si>
  <si>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</si>
  <si>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</si>
  <si>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</si>
  <si>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</si>
  <si>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</si>
  <si>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</si>
  <si>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</si>
  <si>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</si>
  <si>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</si>
  <si>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</si>
  <si>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</si>
  <si>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</si>
  <si>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</si>
  <si>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</si>
  <si>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</si>
  <si>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</si>
  <si>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</si>
  <si>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</si>
  <si>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</si>
  <si>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</si>
  <si>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</si>
  <si>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</si>
  <si>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</si>
  <si>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</si>
  <si>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</si>
  <si>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</si>
  <si>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</si>
  <si>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</si>
  <si>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</si>
  <si>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</si>
  <si>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</si>
  <si>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</si>
  <si>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</si>
  <si>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</si>
  <si>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</si>
  <si>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</si>
  <si>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</si>
  <si>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</si>
  <si>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</si>
  <si>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</si>
  <si>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</si>
  <si>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</si>
  <si>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</si>
  <si>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</si>
  <si>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Legislative Authority</t>
  </si>
  <si>
    <t>Office of the Major</t>
  </si>
  <si>
    <t>Office of the Speaker</t>
  </si>
  <si>
    <t>Council General</t>
  </si>
  <si>
    <t>Whippery Office</t>
  </si>
  <si>
    <t>Gender Equality &amp; Disability</t>
  </si>
  <si>
    <t>Speaker</t>
  </si>
  <si>
    <t>Mayoral committee</t>
  </si>
  <si>
    <t>Executive Major</t>
  </si>
  <si>
    <t>Office of the Municipal Manager</t>
  </si>
  <si>
    <t>Municipal Manager Administration</t>
  </si>
  <si>
    <t>Internal Audit</t>
  </si>
  <si>
    <t>Communications</t>
  </si>
  <si>
    <t>Risk Management</t>
  </si>
  <si>
    <t>Security</t>
  </si>
  <si>
    <t>Corporate Services</t>
  </si>
  <si>
    <t>Corporate Administration</t>
  </si>
  <si>
    <t>Offices &amp; Townhalls</t>
  </si>
  <si>
    <t>Director Corporate</t>
  </si>
  <si>
    <t>Financial Services</t>
  </si>
  <si>
    <t>Budget &amp; Reporting</t>
  </si>
  <si>
    <t>Management</t>
  </si>
  <si>
    <t>Financial Accounting</t>
  </si>
  <si>
    <t>Income</t>
  </si>
  <si>
    <t>Expenditure</t>
  </si>
  <si>
    <t>Finance Interns</t>
  </si>
  <si>
    <t>Municipal Infrastructure</t>
  </si>
  <si>
    <t>Vihicle/ Workshop Maintenance</t>
  </si>
  <si>
    <t>Adminstration</t>
  </si>
  <si>
    <t>Maluti Water</t>
  </si>
  <si>
    <t>PMU</t>
  </si>
  <si>
    <t>Director Municipal Infrastructure</t>
  </si>
  <si>
    <t>Refuse Removal &amp; Dumping Site</t>
  </si>
  <si>
    <t>Community Services</t>
  </si>
  <si>
    <t>Administration</t>
  </si>
  <si>
    <t>Social Services</t>
  </si>
  <si>
    <t>Cemetries</t>
  </si>
  <si>
    <t>Director Community</t>
  </si>
  <si>
    <t>Public Safety</t>
  </si>
  <si>
    <t>Disaster Management</t>
  </si>
  <si>
    <t>Traffic Control</t>
  </si>
  <si>
    <t>Fire Protection</t>
  </si>
  <si>
    <t>Public Safety &amp; Transport</t>
  </si>
  <si>
    <t>Security Guards</t>
  </si>
  <si>
    <t>Director Public Safety</t>
  </si>
  <si>
    <t>Roads and stormwater</t>
  </si>
  <si>
    <t>Parks, Sports &amp; Recreation</t>
  </si>
  <si>
    <t>Director Parks</t>
  </si>
  <si>
    <t>LED &amp; Tourism</t>
  </si>
  <si>
    <t>Local Economic Development</t>
  </si>
  <si>
    <t>Director LED</t>
  </si>
  <si>
    <t>Housing Spatial Development &amp; Planning</t>
  </si>
  <si>
    <t>Housing Services</t>
  </si>
  <si>
    <t>Council Building &amp; Estates</t>
  </si>
  <si>
    <t>Town Planning</t>
  </si>
  <si>
    <t>Building Inspections</t>
  </si>
  <si>
    <t>Spartial Planning &amp; Development</t>
  </si>
  <si>
    <t>Director Housing</t>
  </si>
  <si>
    <t>Water &amp; Sanitation</t>
  </si>
  <si>
    <t>Sanitation &amp; Sewerage</t>
  </si>
  <si>
    <t>Income received by the Municipality on behalf of the Entity</t>
  </si>
  <si>
    <t>1.1 - Office of the Major</t>
  </si>
  <si>
    <t>1.2 - Office of the Speaker</t>
  </si>
  <si>
    <t>1.3 - Council General</t>
  </si>
  <si>
    <t>1.4 - Whippery Office</t>
  </si>
  <si>
    <t>1.5 - Gender Equality &amp; Disability</t>
  </si>
  <si>
    <t>1.6 - Speaker</t>
  </si>
  <si>
    <t>1.7 - Mayoral committee</t>
  </si>
  <si>
    <t>1.8 - Executive Major</t>
  </si>
  <si>
    <t>2.1 - Municipal Manager Administration</t>
  </si>
  <si>
    <t>2.2 - Information Technology</t>
  </si>
  <si>
    <t>2.3 - Internal Audit</t>
  </si>
  <si>
    <t>2.4 - Communications</t>
  </si>
  <si>
    <t>2.5 - Risk Management</t>
  </si>
  <si>
    <t>2.6 - Security</t>
  </si>
  <si>
    <t>2.7 - Municipal Manager</t>
  </si>
  <si>
    <t>3.1 - Corporate Administration</t>
  </si>
  <si>
    <t>3.2 - Human Resources</t>
  </si>
  <si>
    <t>3.3 - Offices &amp; Townhalls</t>
  </si>
  <si>
    <t>3.4 - Director Corporate</t>
  </si>
  <si>
    <t>4.1 - Budget &amp; Reporting</t>
  </si>
  <si>
    <t>4.2 - Management</t>
  </si>
  <si>
    <t>4.3 - Financial Accounting</t>
  </si>
  <si>
    <t>4.4 - Income</t>
  </si>
  <si>
    <t>4.5 - Expenditure</t>
  </si>
  <si>
    <t>4.6 - Revenue Management</t>
  </si>
  <si>
    <t>4.7 - Finance Interns</t>
  </si>
  <si>
    <t>4.8 - Chief Financial Officer</t>
  </si>
  <si>
    <t>5.1 - Vihicle/ Workshop Maintenance</t>
  </si>
  <si>
    <t>5.2 - Electricity</t>
  </si>
  <si>
    <t>5.3 - Adminstration</t>
  </si>
  <si>
    <t>5.4 - Maluti Water</t>
  </si>
  <si>
    <t>5.5 - PMU</t>
  </si>
  <si>
    <t>5.6 - Director Municipal Infrastructure</t>
  </si>
  <si>
    <t>5.7 - Refuse Removal &amp; Dumping Site</t>
  </si>
  <si>
    <t>6.1 - Administration</t>
  </si>
  <si>
    <t>6.2 - Social Services</t>
  </si>
  <si>
    <t>6.3 - Libraries</t>
  </si>
  <si>
    <t>6.4 - Cemetries</t>
  </si>
  <si>
    <t>6.5 - Director Community</t>
  </si>
  <si>
    <t>7.1 - Disaster Management</t>
  </si>
  <si>
    <t>7.2 - Traffic Control</t>
  </si>
  <si>
    <t>7.3 - Fire Protection</t>
  </si>
  <si>
    <t>7.4 - Public Safety &amp; Transport</t>
  </si>
  <si>
    <t>7.5 - Security Guards</t>
  </si>
  <si>
    <t>7.6 - Director Public Safety</t>
  </si>
  <si>
    <t>7.7 - Roads and stormwater</t>
  </si>
  <si>
    <t>8.1 - Administration</t>
  </si>
  <si>
    <t>8.2 - Director Parks</t>
  </si>
  <si>
    <t>9.1 - Administration</t>
  </si>
  <si>
    <t>9.2 - Local Economic Development</t>
  </si>
  <si>
    <t>9.3 - Tourism</t>
  </si>
  <si>
    <t>9.4 - Director LED</t>
  </si>
  <si>
    <t>10.1 - Housing Services</t>
  </si>
  <si>
    <t>10.2 - Council Building &amp; Estates</t>
  </si>
  <si>
    <t>10.3 - Town Planning</t>
  </si>
  <si>
    <t>10.4 - Building Inspections</t>
  </si>
  <si>
    <t>10.5 - Spartial Planning &amp; Development</t>
  </si>
  <si>
    <t>10.6 - Administration</t>
  </si>
  <si>
    <t>10.7 - Director Housing</t>
  </si>
  <si>
    <t>11.1 - Sanitation &amp; Sewerage</t>
  </si>
  <si>
    <t>11.2 - Income received by the Municipality on behalf of the Entity</t>
  </si>
  <si>
    <t>12.1 - Water</t>
  </si>
  <si>
    <t>www.map.gov.za</t>
  </si>
  <si>
    <t>X805</t>
  </si>
  <si>
    <t>Witsieshoek</t>
  </si>
  <si>
    <t>Sesting Business Centre</t>
  </si>
  <si>
    <t>Cnr Moremoholo</t>
  </si>
  <si>
    <t>Phuthaditjhaba</t>
  </si>
  <si>
    <t>058 718 3700</t>
  </si>
  <si>
    <t>058 718 3777</t>
  </si>
  <si>
    <t>N/A</t>
  </si>
  <si>
    <t>058 718 3708</t>
  </si>
  <si>
    <t>058 713 0459</t>
  </si>
  <si>
    <t>A Mofokeng</t>
  </si>
  <si>
    <t>076 097 1865</t>
  </si>
  <si>
    <t>mapcfo@map.fs.gov.za</t>
  </si>
  <si>
    <t>NP Khumalo</t>
  </si>
  <si>
    <t>058 718 3741</t>
  </si>
  <si>
    <t>082 554 0346</t>
  </si>
  <si>
    <t>nrateng@map.fs.gov.za</t>
  </si>
  <si>
    <t>LMD Ntombela</t>
  </si>
  <si>
    <t>058 713 0812</t>
  </si>
  <si>
    <t>mmadmin@map.fs.gov.za</t>
  </si>
  <si>
    <t>058 718 3767</t>
  </si>
  <si>
    <t>053 713 0812</t>
  </si>
  <si>
    <t>07-01-2011</t>
  </si>
  <si>
    <t>07-01-2008</t>
  </si>
  <si>
    <t>Others (DWA,DoE,EPWPIG)</t>
  </si>
  <si>
    <t>M Nkosi</t>
  </si>
  <si>
    <t>073 535 1333</t>
  </si>
  <si>
    <t>juliat@map.fs.gov.za</t>
  </si>
  <si>
    <t>082 587 5155</t>
  </si>
  <si>
    <t>Mr JK Motaung</t>
  </si>
  <si>
    <t>kopano@map.fs.gov.za</t>
  </si>
  <si>
    <t>MS Moleleki</t>
  </si>
  <si>
    <t>058 - 713 4265</t>
  </si>
  <si>
    <t>082 959 1675 / 082 941 8931</t>
  </si>
  <si>
    <t>058 - 713 6706</t>
  </si>
  <si>
    <t>mayor@map.fs.gov.za</t>
  </si>
  <si>
    <t>Ms Malewatle Nthedi</t>
  </si>
  <si>
    <t>speaker@map.fs.gov.za</t>
  </si>
  <si>
    <t>Ms Mokoena Mahadi</t>
  </si>
  <si>
    <t>mokoenamahadi@map.fs.gov.za</t>
  </si>
  <si>
    <t>058 718 3707</t>
  </si>
  <si>
    <t>tlaks@map.fs.gov.za</t>
  </si>
  <si>
    <t>MJ Matlakala(Acting CFO)</t>
  </si>
  <si>
    <t>Mr Lehlahla Diau</t>
  </si>
  <si>
    <t>058 718 3844</t>
  </si>
  <si>
    <t>083 277 0120</t>
  </si>
  <si>
    <t>058 713 6706</t>
  </si>
  <si>
    <t>mayoradmin@map.fs.gov.za</t>
  </si>
  <si>
    <t>083 7078 147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</si>
</sst>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name val="Utah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49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</cellStyleXfs>
  <cellXfs count="1027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quotePrefix="1" applyFont="1" applyBorder="1"/>
    <xf numFmtId="0" fontId="3" fillId="0" borderId="0" xfId="0" quotePrefix="1" applyFont="1" applyBorder="1"/>
    <xf numFmtId="0" fontId="4" fillId="24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0" fontId="8" fillId="0" borderId="22" xfId="0" applyNumberFormat="1" applyFont="1" applyBorder="1"/>
    <xf numFmtId="170" fontId="8" fillId="0" borderId="23" xfId="0" applyNumberFormat="1" applyFont="1" applyBorder="1"/>
    <xf numFmtId="0" fontId="8" fillId="0" borderId="17" xfId="0" applyFont="1" applyBorder="1"/>
    <xf numFmtId="170" fontId="8" fillId="0" borderId="24" xfId="0" applyNumberFormat="1" applyFont="1" applyBorder="1"/>
    <xf numFmtId="0" fontId="12" fillId="0" borderId="0" xfId="0" applyFont="1" applyAlignment="1">
      <alignment horizontal="left"/>
    </xf>
    <xf numFmtId="0" fontId="9" fillId="0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168" fontId="8" fillId="0" borderId="10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/>
    <xf numFmtId="171" fontId="8" fillId="0" borderId="0" xfId="0" applyNumberFormat="1" applyFont="1" applyBorder="1"/>
    <xf numFmtId="171" fontId="8" fillId="0" borderId="22" xfId="0" applyNumberFormat="1" applyFont="1" applyBorder="1"/>
    <xf numFmtId="171" fontId="8" fillId="0" borderId="13" xfId="0" applyNumberFormat="1" applyFont="1" applyBorder="1"/>
    <xf numFmtId="171" fontId="8" fillId="0" borderId="26" xfId="0" applyNumberFormat="1" applyFont="1" applyBorder="1"/>
    <xf numFmtId="171" fontId="8" fillId="0" borderId="22" xfId="0" applyNumberFormat="1" applyFont="1" applyFill="1" applyBorder="1"/>
    <xf numFmtId="168" fontId="8" fillId="0" borderId="13" xfId="0" applyNumberFormat="1" applyFont="1" applyFill="1" applyBorder="1"/>
    <xf numFmtId="171" fontId="9" fillId="0" borderId="0" xfId="0" applyNumberFormat="1" applyFont="1" applyBorder="1"/>
    <xf numFmtId="171" fontId="9" fillId="0" borderId="22" xfId="0" applyNumberFormat="1" applyFont="1" applyBorder="1"/>
    <xf numFmtId="171" fontId="9" fillId="0" borderId="26" xfId="0" applyNumberFormat="1" applyFont="1" applyBorder="1"/>
    <xf numFmtId="168" fontId="9" fillId="0" borderId="10" xfId="0" applyNumberFormat="1" applyFont="1" applyBorder="1"/>
    <xf numFmtId="0" fontId="9" fillId="0" borderId="27" xfId="0" applyFont="1" applyBorder="1"/>
    <xf numFmtId="171" fontId="9" fillId="0" borderId="28" xfId="0" applyNumberFormat="1" applyFont="1" applyBorder="1"/>
    <xf numFmtId="171" fontId="9" fillId="0" borderId="29" xfId="0" applyNumberFormat="1" applyFont="1" applyBorder="1"/>
    <xf numFmtId="171" fontId="9" fillId="0" borderId="30" xfId="0" applyNumberFormat="1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168" fontId="9" fillId="0" borderId="0" xfId="0" applyNumberFormat="1" applyFont="1" applyFill="1" applyBorder="1"/>
    <xf numFmtId="0" fontId="12" fillId="0" borderId="0" xfId="0" quotePrefix="1" applyFont="1" applyBorder="1"/>
    <xf numFmtId="0" fontId="9" fillId="0" borderId="0" xfId="0" applyFont="1" applyBorder="1"/>
    <xf numFmtId="168" fontId="9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64" fontId="8" fillId="0" borderId="0" xfId="28" applyNumberFormat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164" fontId="8" fillId="0" borderId="0" xfId="28" applyNumberFormat="1" applyFont="1" applyAlignment="1">
      <alignment horizontal="center"/>
    </xf>
    <xf numFmtId="167" fontId="8" fillId="0" borderId="0" xfId="43" applyNumberFormat="1" applyFont="1" applyAlignment="1">
      <alignment horizontal="center"/>
    </xf>
    <xf numFmtId="164" fontId="8" fillId="0" borderId="0" xfId="0" applyNumberFormat="1" applyFont="1"/>
    <xf numFmtId="167" fontId="8" fillId="0" borderId="0" xfId="0" applyNumberFormat="1" applyFont="1"/>
    <xf numFmtId="171" fontId="9" fillId="0" borderId="31" xfId="0" applyNumberFormat="1" applyFont="1" applyBorder="1"/>
    <xf numFmtId="171" fontId="9" fillId="0" borderId="32" xfId="0" applyNumberFormat="1" applyFont="1" applyBorder="1"/>
    <xf numFmtId="167" fontId="8" fillId="0" borderId="0" xfId="0" applyNumberFormat="1" applyFont="1" applyAlignment="1">
      <alignment horizontal="center"/>
    </xf>
    <xf numFmtId="171" fontId="9" fillId="0" borderId="24" xfId="0" applyNumberFormat="1" applyFont="1" applyBorder="1"/>
    <xf numFmtId="171" fontId="9" fillId="0" borderId="33" xfId="0" applyNumberFormat="1" applyFont="1" applyBorder="1"/>
    <xf numFmtId="0" fontId="13" fillId="0" borderId="0" xfId="0" applyFont="1" applyBorder="1" applyAlignment="1">
      <alignment horizontal="left"/>
    </xf>
    <xf numFmtId="168" fontId="10" fillId="0" borderId="0" xfId="0" applyNumberFormat="1" applyFont="1" applyBorder="1"/>
    <xf numFmtId="0" fontId="12" fillId="0" borderId="0" xfId="0" applyFont="1" applyBorder="1"/>
    <xf numFmtId="0" fontId="12" fillId="0" borderId="1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center"/>
    </xf>
    <xf numFmtId="171" fontId="9" fillId="0" borderId="34" xfId="0" applyNumberFormat="1" applyFont="1" applyBorder="1"/>
    <xf numFmtId="168" fontId="8" fillId="0" borderId="0" xfId="0" applyNumberFormat="1" applyFont="1" applyBorder="1"/>
    <xf numFmtId="168" fontId="8" fillId="0" borderId="0" xfId="0" applyNumberFormat="1" applyFont="1"/>
    <xf numFmtId="0" fontId="8" fillId="0" borderId="11" xfId="0" applyFont="1" applyFill="1" applyBorder="1" applyAlignment="1">
      <alignment horizontal="left" indent="1"/>
    </xf>
    <xf numFmtId="0" fontId="9" fillId="0" borderId="11" xfId="0" applyFont="1" applyBorder="1"/>
    <xf numFmtId="0" fontId="9" fillId="0" borderId="11" xfId="0" applyFont="1" applyFill="1" applyBorder="1"/>
    <xf numFmtId="0" fontId="12" fillId="0" borderId="11" xfId="0" applyFont="1" applyBorder="1"/>
    <xf numFmtId="166" fontId="9" fillId="0" borderId="0" xfId="0" applyNumberFormat="1" applyFont="1" applyBorder="1"/>
    <xf numFmtId="0" fontId="8" fillId="0" borderId="16" xfId="0" applyFont="1" applyBorder="1"/>
    <xf numFmtId="0" fontId="9" fillId="0" borderId="35" xfId="0" applyFont="1" applyBorder="1"/>
    <xf numFmtId="43" fontId="8" fillId="0" borderId="0" xfId="28" applyFont="1" applyBorder="1"/>
    <xf numFmtId="0" fontId="9" fillId="0" borderId="16" xfId="0" applyFont="1" applyBorder="1"/>
    <xf numFmtId="0" fontId="13" fillId="0" borderId="0" xfId="0" applyFont="1"/>
    <xf numFmtId="0" fontId="8" fillId="0" borderId="0" xfId="0" applyFont="1" applyFill="1" applyBorder="1"/>
    <xf numFmtId="168" fontId="8" fillId="0" borderId="0" xfId="0" applyNumberFormat="1" applyFont="1" applyFill="1" applyBorder="1"/>
    <xf numFmtId="9" fontId="8" fillId="0" borderId="0" xfId="43" applyFont="1"/>
    <xf numFmtId="171" fontId="8" fillId="0" borderId="36" xfId="0" applyNumberFormat="1" applyFont="1" applyBorder="1"/>
    <xf numFmtId="0" fontId="8" fillId="0" borderId="0" xfId="0" applyFont="1" applyFill="1"/>
    <xf numFmtId="171" fontId="8" fillId="0" borderId="36" xfId="0" applyNumberFormat="1" applyFont="1" applyFill="1" applyBorder="1"/>
    <xf numFmtId="171" fontId="9" fillId="0" borderId="22" xfId="0" applyNumberFormat="1" applyFont="1" applyFill="1" applyBorder="1"/>
    <xf numFmtId="168" fontId="8" fillId="0" borderId="22" xfId="0" applyNumberFormat="1" applyFont="1" applyBorder="1"/>
    <xf numFmtId="168" fontId="8" fillId="0" borderId="26" xfId="0" applyNumberFormat="1" applyFont="1" applyBorder="1"/>
    <xf numFmtId="0" fontId="8" fillId="0" borderId="11" xfId="0" applyFont="1" applyFill="1" applyBorder="1"/>
    <xf numFmtId="0" fontId="9" fillId="0" borderId="11" xfId="0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71" fontId="8" fillId="0" borderId="37" xfId="0" applyNumberFormat="1" applyFont="1" applyBorder="1"/>
    <xf numFmtId="171" fontId="9" fillId="0" borderId="10" xfId="0" applyNumberFormat="1" applyFont="1" applyBorder="1"/>
    <xf numFmtId="171" fontId="9" fillId="0" borderId="37" xfId="0" applyNumberFormat="1" applyFont="1" applyBorder="1"/>
    <xf numFmtId="0" fontId="8" fillId="0" borderId="11" xfId="0" applyFont="1" applyBorder="1" applyAlignment="1">
      <alignment horizontal="left" wrapText="1" indent="1"/>
    </xf>
    <xf numFmtId="171" fontId="9" fillId="0" borderId="38" xfId="0" applyNumberFormat="1" applyFont="1" applyBorder="1"/>
    <xf numFmtId="0" fontId="9" fillId="0" borderId="27" xfId="0" applyFont="1" applyFill="1" applyBorder="1"/>
    <xf numFmtId="0" fontId="8" fillId="0" borderId="0" xfId="0" applyFont="1" applyFill="1" applyBorder="1" applyAlignment="1">
      <alignment horizontal="center"/>
    </xf>
    <xf numFmtId="171" fontId="8" fillId="0" borderId="24" xfId="0" applyNumberFormat="1" applyFont="1" applyBorder="1"/>
    <xf numFmtId="171" fontId="8" fillId="0" borderId="33" xfId="0" applyNumberFormat="1" applyFont="1" applyBorder="1"/>
    <xf numFmtId="168" fontId="8" fillId="0" borderId="0" xfId="28" applyNumberFormat="1" applyFont="1" applyBorder="1"/>
    <xf numFmtId="164" fontId="8" fillId="0" borderId="0" xfId="28" applyNumberFormat="1" applyFont="1" applyBorder="1"/>
    <xf numFmtId="0" fontId="8" fillId="0" borderId="19" xfId="0" applyFont="1" applyBorder="1" applyAlignment="1">
      <alignment horizontal="center"/>
    </xf>
    <xf numFmtId="167" fontId="8" fillId="0" borderId="10" xfId="43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top" wrapText="1"/>
    </xf>
    <xf numFmtId="167" fontId="8" fillId="0" borderId="22" xfId="43" applyNumberFormat="1" applyFont="1" applyFill="1" applyBorder="1" applyAlignment="1">
      <alignment horizontal="center" vertical="top" wrapText="1"/>
    </xf>
    <xf numFmtId="167" fontId="8" fillId="0" borderId="0" xfId="43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inden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9" fontId="8" fillId="0" borderId="24" xfId="43" applyFont="1" applyBorder="1" applyAlignment="1">
      <alignment horizontal="center"/>
    </xf>
    <xf numFmtId="171" fontId="8" fillId="0" borderId="10" xfId="0" applyNumberFormat="1" applyFont="1" applyBorder="1"/>
    <xf numFmtId="164" fontId="8" fillId="0" borderId="0" xfId="28" applyNumberFormat="1" applyFont="1" applyFill="1" applyBorder="1"/>
    <xf numFmtId="0" fontId="11" fillId="0" borderId="40" xfId="0" applyFont="1" applyBorder="1"/>
    <xf numFmtId="0" fontId="9" fillId="0" borderId="41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 wrapText="1"/>
    </xf>
    <xf numFmtId="0" fontId="9" fillId="0" borderId="42" xfId="0" applyFont="1" applyFill="1" applyBorder="1" applyAlignment="1">
      <alignment horizontal="centerContinuous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1" fontId="8" fillId="0" borderId="46" xfId="0" applyNumberFormat="1" applyFont="1" applyBorder="1"/>
    <xf numFmtId="171" fontId="9" fillId="0" borderId="47" xfId="0" applyNumberFormat="1" applyFont="1" applyBorder="1"/>
    <xf numFmtId="9" fontId="9" fillId="0" borderId="22" xfId="43" applyFont="1" applyBorder="1" applyAlignment="1">
      <alignment horizontal="center"/>
    </xf>
    <xf numFmtId="9" fontId="9" fillId="0" borderId="0" xfId="43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9" xfId="0" applyNumberFormat="1" applyFont="1" applyBorder="1"/>
    <xf numFmtId="0" fontId="8" fillId="0" borderId="10" xfId="0" applyNumberFormat="1" applyFont="1" applyBorder="1" applyAlignment="1">
      <alignment horizontal="left" indent="1"/>
    </xf>
    <xf numFmtId="0" fontId="9" fillId="0" borderId="10" xfId="0" applyNumberFormat="1" applyFont="1" applyBorder="1"/>
    <xf numFmtId="0" fontId="8" fillId="0" borderId="19" xfId="0" applyNumberFormat="1" applyFont="1" applyBorder="1"/>
    <xf numFmtId="0" fontId="11" fillId="0" borderId="10" xfId="0" applyNumberFormat="1" applyFont="1" applyBorder="1"/>
    <xf numFmtId="169" fontId="8" fillId="0" borderId="0" xfId="0" applyNumberFormat="1" applyFont="1"/>
    <xf numFmtId="0" fontId="8" fillId="0" borderId="19" xfId="0" applyFont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1" fontId="8" fillId="0" borderId="38" xfId="0" applyNumberFormat="1" applyFont="1" applyBorder="1"/>
    <xf numFmtId="171" fontId="8" fillId="0" borderId="31" xfId="0" applyNumberFormat="1" applyFont="1" applyBorder="1"/>
    <xf numFmtId="0" fontId="7" fillId="0" borderId="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10" xfId="0" applyFont="1" applyBorder="1"/>
    <xf numFmtId="0" fontId="9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9" fontId="9" fillId="0" borderId="10" xfId="43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/>
    </xf>
    <xf numFmtId="168" fontId="8" fillId="0" borderId="19" xfId="0" applyNumberFormat="1" applyFont="1" applyBorder="1"/>
    <xf numFmtId="0" fontId="8" fillId="0" borderId="19" xfId="0" applyFont="1" applyFill="1" applyBorder="1"/>
    <xf numFmtId="0" fontId="8" fillId="0" borderId="19" xfId="0" applyFont="1" applyBorder="1" applyAlignment="1">
      <alignment horizontal="left" vertical="top" wrapText="1"/>
    </xf>
    <xf numFmtId="0" fontId="8" fillId="0" borderId="39" xfId="0" applyFont="1" applyBorder="1"/>
    <xf numFmtId="0" fontId="11" fillId="0" borderId="39" xfId="0" applyFont="1" applyBorder="1"/>
    <xf numFmtId="168" fontId="9" fillId="0" borderId="10" xfId="0" applyNumberFormat="1" applyFont="1" applyFill="1" applyBorder="1"/>
    <xf numFmtId="0" fontId="11" fillId="0" borderId="15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/>
    <xf numFmtId="0" fontId="8" fillId="0" borderId="11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171" fontId="8" fillId="0" borderId="50" xfId="0" applyNumberFormat="1" applyFont="1" applyBorder="1"/>
    <xf numFmtId="0" fontId="8" fillId="0" borderId="26" xfId="0" applyFont="1" applyFill="1" applyBorder="1"/>
    <xf numFmtId="0" fontId="8" fillId="0" borderId="22" xfId="0" applyFont="1" applyFill="1" applyBorder="1"/>
    <xf numFmtId="0" fontId="8" fillId="0" borderId="46" xfId="0" applyFont="1" applyFill="1" applyBorder="1"/>
    <xf numFmtId="171" fontId="9" fillId="0" borderId="46" xfId="0" applyNumberFormat="1" applyFont="1" applyBorder="1"/>
    <xf numFmtId="171" fontId="8" fillId="0" borderId="51" xfId="0" applyNumberFormat="1" applyFont="1" applyBorder="1"/>
    <xf numFmtId="170" fontId="8" fillId="0" borderId="26" xfId="0" applyNumberFormat="1" applyFont="1" applyBorder="1"/>
    <xf numFmtId="170" fontId="8" fillId="0" borderId="10" xfId="0" applyNumberFormat="1" applyFont="1" applyBorder="1"/>
    <xf numFmtId="169" fontId="8" fillId="0" borderId="19" xfId="0" applyNumberFormat="1" applyFont="1" applyFill="1" applyBorder="1"/>
    <xf numFmtId="0" fontId="9" fillId="0" borderId="52" xfId="0" applyFont="1" applyFill="1" applyBorder="1" applyAlignment="1">
      <alignment horizontal="center" vertical="center" wrapText="1"/>
    </xf>
    <xf numFmtId="9" fontId="8" fillId="0" borderId="22" xfId="43" applyFont="1" applyFill="1" applyBorder="1" applyAlignment="1">
      <alignment horizontal="center"/>
    </xf>
    <xf numFmtId="170" fontId="8" fillId="0" borderId="46" xfId="0" applyNumberFormat="1" applyFont="1" applyBorder="1"/>
    <xf numFmtId="169" fontId="8" fillId="0" borderId="33" xfId="0" applyNumberFormat="1" applyFont="1" applyFill="1" applyBorder="1"/>
    <xf numFmtId="169" fontId="8" fillId="0" borderId="24" xfId="0" applyNumberFormat="1" applyFont="1" applyFill="1" applyBorder="1"/>
    <xf numFmtId="169" fontId="8" fillId="0" borderId="50" xfId="0" applyNumberFormat="1" applyFont="1" applyFill="1" applyBorder="1"/>
    <xf numFmtId="9" fontId="9" fillId="0" borderId="43" xfId="43" applyFont="1" applyFill="1" applyBorder="1" applyAlignment="1">
      <alignment horizontal="center" vertical="center" wrapText="1"/>
    </xf>
    <xf numFmtId="172" fontId="9" fillId="0" borderId="22" xfId="43" applyNumberFormat="1" applyFont="1" applyBorder="1"/>
    <xf numFmtId="172" fontId="8" fillId="0" borderId="22" xfId="43" applyNumberFormat="1" applyFont="1" applyBorder="1"/>
    <xf numFmtId="172" fontId="8" fillId="0" borderId="36" xfId="43" applyNumberFormat="1" applyFont="1" applyBorder="1"/>
    <xf numFmtId="170" fontId="8" fillId="0" borderId="19" xfId="0" applyNumberFormat="1" applyFont="1" applyBorder="1"/>
    <xf numFmtId="170" fontId="8" fillId="0" borderId="33" xfId="0" applyNumberFormat="1" applyFont="1" applyBorder="1"/>
    <xf numFmtId="172" fontId="8" fillId="0" borderId="24" xfId="43" applyNumberFormat="1" applyFont="1" applyBorder="1"/>
    <xf numFmtId="170" fontId="8" fillId="0" borderId="50" xfId="0" applyNumberFormat="1" applyFont="1" applyBorder="1"/>
    <xf numFmtId="170" fontId="8" fillId="0" borderId="39" xfId="0" applyNumberFormat="1" applyFont="1" applyBorder="1"/>
    <xf numFmtId="170" fontId="8" fillId="0" borderId="25" xfId="0" applyNumberFormat="1" applyFont="1" applyBorder="1"/>
    <xf numFmtId="172" fontId="8" fillId="0" borderId="23" xfId="43" applyNumberFormat="1" applyFont="1" applyBorder="1"/>
    <xf numFmtId="170" fontId="8" fillId="0" borderId="53" xfId="0" applyNumberFormat="1" applyFont="1" applyBorder="1"/>
    <xf numFmtId="170" fontId="8" fillId="25" borderId="22" xfId="0" applyNumberFormat="1" applyFont="1" applyFill="1" applyBorder="1"/>
    <xf numFmtId="170" fontId="8" fillId="25" borderId="24" xfId="0" applyNumberFormat="1" applyFont="1" applyFill="1" applyBorder="1"/>
    <xf numFmtId="172" fontId="8" fillId="25" borderId="22" xfId="43" applyNumberFormat="1" applyFont="1" applyFill="1" applyBorder="1"/>
    <xf numFmtId="172" fontId="8" fillId="25" borderId="24" xfId="43" applyNumberFormat="1" applyFont="1" applyFill="1" applyBorder="1"/>
    <xf numFmtId="0" fontId="12" fillId="0" borderId="0" xfId="0" applyFont="1" applyFill="1"/>
    <xf numFmtId="0" fontId="8" fillId="0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1" fontId="8" fillId="0" borderId="19" xfId="0" applyNumberFormat="1" applyFont="1" applyBorder="1"/>
    <xf numFmtId="0" fontId="9" fillId="0" borderId="53" xfId="0" applyFont="1" applyBorder="1" applyAlignment="1">
      <alignment horizontal="center"/>
    </xf>
    <xf numFmtId="9" fontId="9" fillId="0" borderId="22" xfId="43" applyFont="1" applyFill="1" applyBorder="1" applyAlignment="1">
      <alignment horizontal="center" vertical="center" wrapText="1"/>
    </xf>
    <xf numFmtId="0" fontId="8" fillId="0" borderId="26" xfId="0" applyFont="1" applyBorder="1"/>
    <xf numFmtId="0" fontId="9" fillId="0" borderId="21" xfId="0" applyFont="1" applyFill="1" applyBorder="1" applyAlignment="1">
      <alignment horizontal="centerContinuous" vertical="center" wrapText="1"/>
    </xf>
    <xf numFmtId="0" fontId="9" fillId="0" borderId="44" xfId="0" applyFont="1" applyFill="1" applyBorder="1" applyAlignment="1">
      <alignment horizontal="centerContinuous" vertical="center" wrapText="1"/>
    </xf>
    <xf numFmtId="0" fontId="9" fillId="0" borderId="48" xfId="0" applyFont="1" applyFill="1" applyBorder="1" applyAlignment="1">
      <alignment horizontal="centerContinuous" vertical="center" wrapText="1"/>
    </xf>
    <xf numFmtId="0" fontId="8" fillId="0" borderId="54" xfId="0" applyNumberFormat="1" applyFont="1" applyBorder="1" applyAlignment="1">
      <alignment horizontal="left" indent="1"/>
    </xf>
    <xf numFmtId="0" fontId="8" fillId="0" borderId="55" xfId="0" applyFont="1" applyBorder="1" applyAlignment="1">
      <alignment horizontal="center"/>
    </xf>
    <xf numFmtId="171" fontId="9" fillId="0" borderId="50" xfId="0" applyNumberFormat="1" applyFont="1" applyBorder="1"/>
    <xf numFmtId="171" fontId="9" fillId="0" borderId="56" xfId="0" applyNumberFormat="1" applyFont="1" applyBorder="1"/>
    <xf numFmtId="0" fontId="8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3" xfId="0" applyFont="1" applyBorder="1"/>
    <xf numFmtId="0" fontId="8" fillId="0" borderId="24" xfId="0" applyFont="1" applyBorder="1"/>
    <xf numFmtId="9" fontId="9" fillId="0" borderId="24" xfId="43" applyFont="1" applyFill="1" applyBorder="1" applyAlignment="1">
      <alignment horizontal="center" vertical="center"/>
    </xf>
    <xf numFmtId="171" fontId="9" fillId="0" borderId="55" xfId="0" applyNumberFormat="1" applyFont="1" applyBorder="1"/>
    <xf numFmtId="171" fontId="9" fillId="0" borderId="19" xfId="0" applyNumberFormat="1" applyFont="1" applyBorder="1"/>
    <xf numFmtId="0" fontId="9" fillId="0" borderId="57" xfId="0" applyFont="1" applyFill="1" applyBorder="1" applyAlignment="1">
      <alignment horizontal="centerContinuous" vertical="center" wrapText="1"/>
    </xf>
    <xf numFmtId="0" fontId="8" fillId="0" borderId="58" xfId="0" applyFont="1" applyBorder="1"/>
    <xf numFmtId="0" fontId="8" fillId="0" borderId="59" xfId="0" applyFont="1" applyBorder="1" applyAlignment="1">
      <alignment horizontal="left" indent="1"/>
    </xf>
    <xf numFmtId="0" fontId="8" fillId="0" borderId="54" xfId="0" applyFont="1" applyBorder="1" applyAlignment="1">
      <alignment horizontal="center"/>
    </xf>
    <xf numFmtId="171" fontId="8" fillId="0" borderId="54" xfId="0" applyNumberFormat="1" applyFont="1" applyBorder="1"/>
    <xf numFmtId="0" fontId="9" fillId="0" borderId="1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171" fontId="9" fillId="0" borderId="10" xfId="0" applyNumberFormat="1" applyFont="1" applyBorder="1" applyAlignment="1">
      <alignment vertical="top"/>
    </xf>
    <xf numFmtId="171" fontId="9" fillId="0" borderId="26" xfId="0" applyNumberFormat="1" applyFont="1" applyBorder="1" applyAlignment="1">
      <alignment vertical="top"/>
    </xf>
    <xf numFmtId="171" fontId="9" fillId="0" borderId="22" xfId="0" applyNumberFormat="1" applyFont="1" applyBorder="1" applyAlignment="1">
      <alignment vertical="top"/>
    </xf>
    <xf numFmtId="171" fontId="9" fillId="0" borderId="46" xfId="0" applyNumberFormat="1" applyFont="1" applyBorder="1" applyAlignment="1">
      <alignment vertical="top"/>
    </xf>
    <xf numFmtId="0" fontId="8" fillId="0" borderId="59" xfId="0" applyFont="1" applyBorder="1" applyAlignment="1">
      <alignment horizontal="left" wrapText="1" indent="1"/>
    </xf>
    <xf numFmtId="0" fontId="9" fillId="0" borderId="60" xfId="0" applyFont="1" applyFill="1" applyBorder="1" applyAlignment="1">
      <alignment horizontal="center" vertical="center" wrapText="1"/>
    </xf>
    <xf numFmtId="171" fontId="8" fillId="0" borderId="45" xfId="0" applyNumberFormat="1" applyFont="1" applyBorder="1"/>
    <xf numFmtId="171" fontId="9" fillId="0" borderId="45" xfId="0" applyNumberFormat="1" applyFont="1" applyBorder="1"/>
    <xf numFmtId="171" fontId="9" fillId="0" borderId="61" xfId="0" applyNumberFormat="1" applyFont="1" applyBorder="1"/>
    <xf numFmtId="171" fontId="8" fillId="0" borderId="55" xfId="0" applyNumberFormat="1" applyFont="1" applyBorder="1"/>
    <xf numFmtId="171" fontId="8" fillId="0" borderId="61" xfId="0" applyNumberFormat="1" applyFont="1" applyBorder="1"/>
    <xf numFmtId="171" fontId="8" fillId="0" borderId="47" xfId="0" applyNumberFormat="1" applyFont="1" applyBorder="1"/>
    <xf numFmtId="171" fontId="8" fillId="0" borderId="62" xfId="0" applyNumberFormat="1" applyFont="1" applyBorder="1"/>
    <xf numFmtId="171" fontId="9" fillId="0" borderId="58" xfId="0" applyNumberFormat="1" applyFont="1" applyBorder="1"/>
    <xf numFmtId="168" fontId="8" fillId="0" borderId="46" xfId="0" applyNumberFormat="1" applyFont="1" applyBorder="1"/>
    <xf numFmtId="0" fontId="9" fillId="0" borderId="63" xfId="0" applyFont="1" applyBorder="1" applyAlignment="1">
      <alignment horizontal="center"/>
    </xf>
    <xf numFmtId="168" fontId="8" fillId="0" borderId="45" xfId="0" applyNumberFormat="1" applyFont="1" applyBorder="1"/>
    <xf numFmtId="0" fontId="9" fillId="0" borderId="39" xfId="0" applyFont="1" applyFill="1" applyBorder="1" applyAlignment="1">
      <alignment horizontal="centerContinuous" vertical="center" wrapText="1"/>
    </xf>
    <xf numFmtId="0" fontId="9" fillId="0" borderId="15" xfId="0" applyFont="1" applyFill="1" applyBorder="1" applyAlignment="1">
      <alignment horizontal="center" vertical="center" wrapText="1"/>
    </xf>
    <xf numFmtId="171" fontId="9" fillId="0" borderId="64" xfId="0" applyNumberFormat="1" applyFont="1" applyBorder="1"/>
    <xf numFmtId="0" fontId="9" fillId="0" borderId="15" xfId="0" applyFont="1" applyBorder="1"/>
    <xf numFmtId="171" fontId="8" fillId="25" borderId="22" xfId="0" applyNumberFormat="1" applyFont="1" applyFill="1" applyBorder="1"/>
    <xf numFmtId="171" fontId="8" fillId="25" borderId="24" xfId="0" applyNumberFormat="1" applyFont="1" applyFill="1" applyBorder="1"/>
    <xf numFmtId="0" fontId="9" fillId="0" borderId="65" xfId="0" applyFont="1" applyFill="1" applyBorder="1" applyAlignment="1">
      <alignment horizontal="centerContinuous" vertical="center" wrapText="1"/>
    </xf>
    <xf numFmtId="167" fontId="8" fillId="0" borderId="46" xfId="43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 indent="1"/>
    </xf>
    <xf numFmtId="9" fontId="8" fillId="0" borderId="63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53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7" fontId="8" fillId="0" borderId="45" xfId="43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/>
    </xf>
    <xf numFmtId="0" fontId="8" fillId="0" borderId="46" xfId="0" applyFont="1" applyBorder="1"/>
    <xf numFmtId="0" fontId="9" fillId="0" borderId="66" xfId="0" applyFont="1" applyFill="1" applyBorder="1" applyAlignment="1">
      <alignment horizontal="centerContinuous" vertical="center" wrapText="1"/>
    </xf>
    <xf numFmtId="0" fontId="8" fillId="0" borderId="37" xfId="0" applyFont="1" applyBorder="1"/>
    <xf numFmtId="0" fontId="8" fillId="0" borderId="45" xfId="0" applyFont="1" applyBorder="1"/>
    <xf numFmtId="169" fontId="8" fillId="0" borderId="0" xfId="0" applyNumberFormat="1" applyFont="1" applyFill="1" applyBorder="1"/>
    <xf numFmtId="172" fontId="8" fillId="0" borderId="0" xfId="43" applyNumberFormat="1" applyFont="1" applyBorder="1"/>
    <xf numFmtId="171" fontId="9" fillId="25" borderId="29" xfId="0" applyNumberFormat="1" applyFont="1" applyFill="1" applyBorder="1"/>
    <xf numFmtId="167" fontId="9" fillId="0" borderId="29" xfId="43" applyNumberFormat="1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7" xfId="0" applyFont="1" applyBorder="1"/>
    <xf numFmtId="0" fontId="8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9" fontId="9" fillId="0" borderId="36" xfId="43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2" xfId="0" applyFont="1" applyBorder="1"/>
    <xf numFmtId="171" fontId="8" fillId="0" borderId="58" xfId="0" applyNumberFormat="1" applyFont="1" applyBorder="1"/>
    <xf numFmtId="168" fontId="9" fillId="0" borderId="26" xfId="0" applyNumberFormat="1" applyFont="1" applyBorder="1"/>
    <xf numFmtId="168" fontId="9" fillId="0" borderId="22" xfId="0" applyNumberFormat="1" applyFont="1" applyBorder="1"/>
    <xf numFmtId="168" fontId="9" fillId="0" borderId="46" xfId="0" applyNumberFormat="1" applyFont="1" applyBorder="1"/>
    <xf numFmtId="167" fontId="9" fillId="0" borderId="22" xfId="43" applyNumberFormat="1" applyFont="1" applyFill="1" applyBorder="1" applyAlignment="1">
      <alignment horizontal="center" vertical="top" wrapText="1"/>
    </xf>
    <xf numFmtId="167" fontId="9" fillId="0" borderId="31" xfId="43" applyNumberFormat="1" applyFont="1" applyFill="1" applyBorder="1" applyAlignment="1">
      <alignment horizontal="center" vertical="top" wrapText="1"/>
    </xf>
    <xf numFmtId="171" fontId="8" fillId="0" borderId="30" xfId="0" applyNumberFormat="1" applyFont="1" applyBorder="1"/>
    <xf numFmtId="171" fontId="8" fillId="0" borderId="29" xfId="0" applyNumberFormat="1" applyFont="1" applyBorder="1"/>
    <xf numFmtId="167" fontId="8" fillId="0" borderId="29" xfId="43" applyNumberFormat="1" applyFont="1" applyFill="1" applyBorder="1" applyAlignment="1">
      <alignment horizontal="center" vertical="top" wrapText="1"/>
    </xf>
    <xf numFmtId="171" fontId="8" fillId="0" borderId="56" xfId="0" applyNumberFormat="1" applyFont="1" applyBorder="1"/>
    <xf numFmtId="0" fontId="8" fillId="0" borderId="68" xfId="0" applyFont="1" applyBorder="1" applyAlignment="1">
      <alignment horizontal="center"/>
    </xf>
    <xf numFmtId="9" fontId="9" fillId="0" borderId="26" xfId="43" applyFont="1" applyBorder="1" applyAlignment="1">
      <alignment horizontal="center"/>
    </xf>
    <xf numFmtId="9" fontId="9" fillId="0" borderId="46" xfId="43" applyFont="1" applyBorder="1" applyAlignment="1">
      <alignment horizontal="center"/>
    </xf>
    <xf numFmtId="167" fontId="9" fillId="0" borderId="46" xfId="43" applyNumberFormat="1" applyFont="1" applyFill="1" applyBorder="1" applyAlignment="1">
      <alignment horizontal="center" vertical="top" wrapText="1"/>
    </xf>
    <xf numFmtId="0" fontId="9" fillId="0" borderId="69" xfId="0" applyFont="1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171" fontId="8" fillId="0" borderId="70" xfId="0" applyNumberFormat="1" applyFont="1" applyBorder="1"/>
    <xf numFmtId="0" fontId="9" fillId="0" borderId="35" xfId="0" applyFont="1" applyFill="1" applyBorder="1"/>
    <xf numFmtId="168" fontId="9" fillId="0" borderId="55" xfId="0" applyNumberFormat="1" applyFont="1" applyBorder="1"/>
    <xf numFmtId="171" fontId="9" fillId="0" borderId="71" xfId="0" applyNumberFormat="1" applyFont="1" applyBorder="1"/>
    <xf numFmtId="0" fontId="8" fillId="0" borderId="16" xfId="0" applyFont="1" applyFill="1" applyBorder="1" applyAlignment="1">
      <alignment horizontal="left" indent="1"/>
    </xf>
    <xf numFmtId="0" fontId="12" fillId="0" borderId="11" xfId="0" quotePrefix="1" applyFont="1" applyBorder="1" applyAlignment="1">
      <alignment horizontal="left"/>
    </xf>
    <xf numFmtId="0" fontId="8" fillId="0" borderId="38" xfId="0" applyFont="1" applyFill="1" applyBorder="1" applyAlignment="1">
      <alignment horizontal="center"/>
    </xf>
    <xf numFmtId="167" fontId="8" fillId="0" borderId="36" xfId="43" applyNumberFormat="1" applyFont="1" applyFill="1" applyBorder="1" applyAlignment="1">
      <alignment horizontal="center" vertical="top" wrapText="1"/>
    </xf>
    <xf numFmtId="168" fontId="8" fillId="0" borderId="0" xfId="28" applyNumberFormat="1" applyFont="1" applyFill="1" applyBorder="1"/>
    <xf numFmtId="0" fontId="9" fillId="0" borderId="68" xfId="0" applyFont="1" applyFill="1" applyBorder="1" applyAlignment="1">
      <alignment horizontal="center" vertical="center" wrapText="1"/>
    </xf>
    <xf numFmtId="171" fontId="9" fillId="25" borderId="22" xfId="0" applyNumberFormat="1" applyFont="1" applyFill="1" applyBorder="1"/>
    <xf numFmtId="171" fontId="8" fillId="25" borderId="36" xfId="0" applyNumberFormat="1" applyFont="1" applyFill="1" applyBorder="1"/>
    <xf numFmtId="171" fontId="9" fillId="25" borderId="22" xfId="0" applyNumberFormat="1" applyFont="1" applyFill="1" applyBorder="1" applyAlignment="1">
      <alignment vertical="top"/>
    </xf>
    <xf numFmtId="9" fontId="8" fillId="0" borderId="22" xfId="43" applyFont="1" applyBorder="1" applyAlignment="1">
      <alignment horizontal="center"/>
    </xf>
    <xf numFmtId="9" fontId="9" fillId="0" borderId="31" xfId="43" applyFont="1" applyBorder="1" applyAlignment="1">
      <alignment horizontal="center"/>
    </xf>
    <xf numFmtId="9" fontId="9" fillId="0" borderId="29" xfId="43" applyFont="1" applyBorder="1" applyAlignment="1">
      <alignment horizontal="center"/>
    </xf>
    <xf numFmtId="9" fontId="9" fillId="0" borderId="24" xfId="43" applyFont="1" applyBorder="1" applyAlignment="1">
      <alignment horizontal="center"/>
    </xf>
    <xf numFmtId="171" fontId="9" fillId="25" borderId="24" xfId="0" applyNumberFormat="1" applyFont="1" applyFill="1" applyBorder="1"/>
    <xf numFmtId="9" fontId="8" fillId="0" borderId="36" xfId="43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4" fillId="0" borderId="15" xfId="0" applyFont="1" applyBorder="1"/>
    <xf numFmtId="0" fontId="8" fillId="0" borderId="65" xfId="0" applyFont="1" applyBorder="1"/>
    <xf numFmtId="168" fontId="8" fillId="0" borderId="13" xfId="28" applyNumberFormat="1" applyFont="1" applyFill="1" applyBorder="1"/>
    <xf numFmtId="2" fontId="8" fillId="0" borderId="0" xfId="0" applyNumberFormat="1" applyFont="1"/>
    <xf numFmtId="0" fontId="9" fillId="0" borderId="11" xfId="0" quotePrefix="1" applyFont="1" applyBorder="1" applyAlignment="1">
      <alignment horizontal="left" indent="1"/>
    </xf>
    <xf numFmtId="167" fontId="9" fillId="0" borderId="22" xfId="43" applyNumberFormat="1" applyFont="1" applyFill="1" applyBorder="1" applyAlignment="1">
      <alignment horizontal="center" wrapText="1"/>
    </xf>
    <xf numFmtId="9" fontId="9" fillId="0" borderId="22" xfId="43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7" fillId="0" borderId="14" xfId="0" applyFont="1" applyFill="1" applyBorder="1" applyAlignment="1"/>
    <xf numFmtId="0" fontId="9" fillId="0" borderId="10" xfId="0" applyNumberFormat="1" applyFont="1" applyBorder="1" applyAlignment="1">
      <alignment wrapText="1"/>
    </xf>
    <xf numFmtId="0" fontId="8" fillId="0" borderId="10" xfId="0" applyNumberFormat="1" applyFont="1" applyBorder="1" applyAlignment="1">
      <alignment horizontal="left" wrapText="1" indent="1"/>
    </xf>
    <xf numFmtId="0" fontId="9" fillId="0" borderId="19" xfId="0" applyNumberFormat="1" applyFont="1" applyBorder="1"/>
    <xf numFmtId="0" fontId="9" fillId="0" borderId="59" xfId="0" applyFont="1" applyBorder="1"/>
    <xf numFmtId="9" fontId="9" fillId="0" borderId="54" xfId="43" applyFont="1" applyBorder="1" applyAlignment="1">
      <alignment horizontal="center"/>
    </xf>
    <xf numFmtId="9" fontId="9" fillId="0" borderId="67" xfId="43" applyFont="1" applyBorder="1" applyAlignment="1">
      <alignment horizontal="center"/>
    </xf>
    <xf numFmtId="9" fontId="9" fillId="0" borderId="36" xfId="43" applyFont="1" applyBorder="1" applyAlignment="1">
      <alignment horizontal="center"/>
    </xf>
    <xf numFmtId="9" fontId="9" fillId="0" borderId="51" xfId="43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171" fontId="8" fillId="0" borderId="14" xfId="0" applyNumberFormat="1" applyFont="1" applyBorder="1"/>
    <xf numFmtId="171" fontId="8" fillId="0" borderId="17" xfId="0" applyNumberFormat="1" applyFont="1" applyBorder="1"/>
    <xf numFmtId="0" fontId="9" fillId="0" borderId="72" xfId="0" applyFont="1" applyBorder="1"/>
    <xf numFmtId="0" fontId="9" fillId="0" borderId="18" xfId="0" applyFont="1" applyBorder="1"/>
    <xf numFmtId="0" fontId="8" fillId="0" borderId="15" xfId="0" applyFont="1" applyBorder="1"/>
    <xf numFmtId="171" fontId="8" fillId="0" borderId="12" xfId="0" applyNumberFormat="1" applyFont="1" applyBorder="1"/>
    <xf numFmtId="171" fontId="8" fillId="0" borderId="65" xfId="0" applyNumberFormat="1" applyFont="1" applyBorder="1"/>
    <xf numFmtId="0" fontId="8" fillId="0" borderId="72" xfId="0" applyFont="1" applyBorder="1"/>
    <xf numFmtId="0" fontId="8" fillId="0" borderId="18" xfId="0" applyFont="1" applyBorder="1"/>
    <xf numFmtId="0" fontId="7" fillId="0" borderId="15" xfId="0" applyFont="1" applyBorder="1"/>
    <xf numFmtId="0" fontId="7" fillId="0" borderId="69" xfId="0" applyFont="1" applyBorder="1"/>
    <xf numFmtId="0" fontId="9" fillId="0" borderId="73" xfId="0" applyFont="1" applyBorder="1" applyAlignment="1">
      <alignment horizontal="center"/>
    </xf>
    <xf numFmtId="171" fontId="9" fillId="0" borderId="18" xfId="0" applyNumberFormat="1" applyFont="1" applyBorder="1"/>
    <xf numFmtId="0" fontId="9" fillId="0" borderId="3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24" borderId="72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3" fillId="0" borderId="0" xfId="0" applyFont="1" applyProtection="1"/>
    <xf numFmtId="0" fontId="16" fillId="26" borderId="15" xfId="0" applyFont="1" applyFill="1" applyBorder="1"/>
    <xf numFmtId="0" fontId="16" fillId="26" borderId="12" xfId="0" applyFont="1" applyFill="1" applyBorder="1" applyAlignment="1">
      <alignment horizontal="left"/>
    </xf>
    <xf numFmtId="0" fontId="16" fillId="26" borderId="39" xfId="0" applyFont="1" applyFill="1" applyBorder="1" applyAlignment="1">
      <alignment horizontal="left"/>
    </xf>
    <xf numFmtId="0" fontId="16" fillId="26" borderId="15" xfId="0" applyFont="1" applyFill="1" applyBorder="1" applyAlignment="1">
      <alignment horizontal="left"/>
    </xf>
    <xf numFmtId="0" fontId="4" fillId="27" borderId="0" xfId="0" applyFont="1" applyFill="1"/>
    <xf numFmtId="0" fontId="3" fillId="0" borderId="10" xfId="0" applyFont="1" applyBorder="1"/>
    <xf numFmtId="0" fontId="17" fillId="0" borderId="0" xfId="0" applyFont="1"/>
    <xf numFmtId="17" fontId="3" fillId="0" borderId="10" xfId="0" quotePrefix="1" applyNumberFormat="1" applyFont="1" applyBorder="1"/>
    <xf numFmtId="0" fontId="3" fillId="0" borderId="10" xfId="0" quotePrefix="1" applyFont="1" applyBorder="1"/>
    <xf numFmtId="172" fontId="9" fillId="0" borderId="36" xfId="43" applyNumberFormat="1" applyFont="1" applyBorder="1"/>
    <xf numFmtId="171" fontId="8" fillId="28" borderId="26" xfId="0" applyNumberFormat="1" applyFont="1" applyFill="1" applyBorder="1" applyProtection="1">
      <protection locked="0"/>
    </xf>
    <xf numFmtId="171" fontId="8" fillId="28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/>
    <xf numFmtId="0" fontId="11" fillId="0" borderId="10" xfId="0" applyFont="1" applyBorder="1" applyProtection="1"/>
    <xf numFmtId="0" fontId="8" fillId="0" borderId="10" xfId="0" applyFont="1" applyBorder="1" applyProtection="1"/>
    <xf numFmtId="0" fontId="8" fillId="0" borderId="10" xfId="0" applyFont="1" applyBorder="1" applyAlignment="1" applyProtection="1">
      <alignment horizontal="center"/>
    </xf>
    <xf numFmtId="9" fontId="8" fillId="0" borderId="39" xfId="0" applyNumberFormat="1" applyFont="1" applyBorder="1" applyAlignment="1" applyProtection="1">
      <alignment horizontal="center" vertical="top"/>
      <protection locked="0"/>
    </xf>
    <xf numFmtId="167" fontId="8" fillId="0" borderId="10" xfId="43" applyNumberFormat="1" applyFont="1" applyFill="1" applyBorder="1" applyAlignment="1" applyProtection="1">
      <alignment horizontal="center" vertical="top" wrapText="1"/>
    </xf>
    <xf numFmtId="167" fontId="8" fillId="0" borderId="45" xfId="43" applyNumberFormat="1" applyFont="1" applyFill="1" applyBorder="1" applyAlignment="1" applyProtection="1">
      <alignment horizontal="center" vertical="top" wrapText="1"/>
    </xf>
    <xf numFmtId="167" fontId="8" fillId="0" borderId="22" xfId="43" applyNumberFormat="1" applyFont="1" applyFill="1" applyBorder="1" applyAlignment="1" applyProtection="1">
      <alignment horizontal="center" vertical="top" wrapText="1"/>
    </xf>
    <xf numFmtId="167" fontId="8" fillId="0" borderId="46" xfId="43" applyNumberFormat="1" applyFont="1" applyFill="1" applyBorder="1" applyAlignment="1" applyProtection="1">
      <alignment horizontal="center" vertical="top" wrapText="1"/>
    </xf>
    <xf numFmtId="171" fontId="8" fillId="28" borderId="37" xfId="0" applyNumberFormat="1" applyFont="1" applyFill="1" applyBorder="1" applyProtection="1">
      <protection locked="0"/>
    </xf>
    <xf numFmtId="171" fontId="8" fillId="28" borderId="13" xfId="0" applyNumberFormat="1" applyFont="1" applyFill="1" applyBorder="1" applyProtection="1">
      <protection locked="0"/>
    </xf>
    <xf numFmtId="0" fontId="8" fillId="0" borderId="11" xfId="0" quotePrefix="1" applyFont="1" applyFill="1" applyBorder="1" applyAlignment="1">
      <alignment horizontal="left" indent="2"/>
    </xf>
    <xf numFmtId="0" fontId="9" fillId="0" borderId="11" xfId="0" quotePrefix="1" applyFont="1" applyFill="1" applyBorder="1" applyAlignment="1">
      <alignment horizontal="left" indent="1"/>
    </xf>
    <xf numFmtId="0" fontId="12" fillId="0" borderId="11" xfId="0" quotePrefix="1" applyFont="1" applyFill="1" applyBorder="1" applyAlignment="1">
      <alignment horizontal="left" indent="2"/>
    </xf>
    <xf numFmtId="9" fontId="9" fillId="25" borderId="10" xfId="43" applyFont="1" applyFill="1" applyBorder="1" applyAlignment="1">
      <alignment horizontal="center"/>
    </xf>
    <xf numFmtId="168" fontId="8" fillId="25" borderId="10" xfId="0" applyNumberFormat="1" applyFont="1" applyFill="1" applyBorder="1"/>
    <xf numFmtId="167" fontId="9" fillId="25" borderId="22" xfId="43" applyNumberFormat="1" applyFont="1" applyFill="1" applyBorder="1" applyAlignment="1">
      <alignment horizontal="center" vertical="top" wrapText="1"/>
    </xf>
    <xf numFmtId="168" fontId="8" fillId="25" borderId="22" xfId="0" applyNumberFormat="1" applyFont="1" applyFill="1" applyBorder="1"/>
    <xf numFmtId="9" fontId="9" fillId="25" borderId="22" xfId="43" applyFont="1" applyFill="1" applyBorder="1" applyAlignment="1">
      <alignment horizontal="center" vertical="top" wrapText="1"/>
    </xf>
    <xf numFmtId="9" fontId="8" fillId="25" borderId="22" xfId="43" applyFont="1" applyFill="1" applyBorder="1" applyAlignment="1">
      <alignment horizontal="center"/>
    </xf>
    <xf numFmtId="171" fontId="8" fillId="0" borderId="0" xfId="0" applyNumberFormat="1" applyFont="1" applyFill="1" applyBorder="1" applyProtection="1"/>
    <xf numFmtId="0" fontId="7" fillId="0" borderId="0" xfId="0" applyFont="1" applyFill="1" applyBorder="1" applyAlignment="1"/>
    <xf numFmtId="0" fontId="8" fillId="0" borderId="11" xfId="0" applyFont="1" applyFill="1" applyBorder="1" applyAlignment="1" applyProtection="1">
      <alignment horizontal="left" indent="1"/>
    </xf>
    <xf numFmtId="171" fontId="8" fillId="0" borderId="22" xfId="0" applyNumberFormat="1" applyFont="1" applyFill="1" applyBorder="1" applyProtection="1"/>
    <xf numFmtId="171" fontId="8" fillId="0" borderId="36" xfId="0" applyNumberFormat="1" applyFont="1" applyFill="1" applyBorder="1" applyProtection="1"/>
    <xf numFmtId="167" fontId="9" fillId="25" borderId="24" xfId="43" applyNumberFormat="1" applyFont="1" applyFill="1" applyBorder="1" applyAlignment="1">
      <alignment horizontal="center" vertical="top" wrapText="1"/>
    </xf>
    <xf numFmtId="0" fontId="8" fillId="0" borderId="0" xfId="0" quotePrefix="1" applyFont="1" applyBorder="1"/>
    <xf numFmtId="0" fontId="3" fillId="0" borderId="0" xfId="0" applyFont="1" applyBorder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left" indent="2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171" fontId="9" fillId="0" borderId="43" xfId="0" applyNumberFormat="1" applyFont="1" applyBorder="1"/>
    <xf numFmtId="9" fontId="9" fillId="0" borderId="43" xfId="43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0" fontId="18" fillId="0" borderId="0" xfId="0" applyFont="1"/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11" xfId="0" applyFont="1" applyBorder="1" applyProtection="1"/>
    <xf numFmtId="0" fontId="9" fillId="0" borderId="22" xfId="0" applyNumberFormat="1" applyFont="1" applyBorder="1" applyAlignment="1" applyProtection="1">
      <alignment horizontal="center"/>
      <protection locked="0"/>
    </xf>
    <xf numFmtId="171" fontId="9" fillId="0" borderId="22" xfId="0" applyNumberFormat="1" applyFont="1" applyBorder="1" applyAlignment="1">
      <alignment horizontal="right"/>
    </xf>
    <xf numFmtId="171" fontId="9" fillId="0" borderId="13" xfId="0" applyNumberFormat="1" applyFont="1" applyBorder="1" applyAlignment="1">
      <alignment horizontal="right"/>
    </xf>
    <xf numFmtId="171" fontId="9" fillId="0" borderId="0" xfId="0" applyNumberFormat="1" applyFont="1" applyBorder="1" applyAlignment="1">
      <alignment horizontal="right"/>
    </xf>
    <xf numFmtId="171" fontId="9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 applyProtection="1">
      <alignment horizontal="center"/>
      <protection locked="0"/>
    </xf>
    <xf numFmtId="168" fontId="8" fillId="0" borderId="13" xfId="0" applyNumberFormat="1" applyFont="1" applyBorder="1"/>
    <xf numFmtId="0" fontId="9" fillId="0" borderId="11" xfId="0" applyFont="1" applyBorder="1" applyAlignment="1" applyProtection="1">
      <alignment horizontal="left"/>
    </xf>
    <xf numFmtId="171" fontId="9" fillId="0" borderId="43" xfId="0" applyNumberFormat="1" applyFont="1" applyBorder="1" applyAlignment="1" applyProtection="1">
      <alignment horizontal="right"/>
    </xf>
    <xf numFmtId="171" fontId="9" fillId="0" borderId="74" xfId="0" applyNumberFormat="1" applyFont="1" applyBorder="1" applyAlignment="1" applyProtection="1">
      <alignment horizontal="right"/>
    </xf>
    <xf numFmtId="171" fontId="9" fillId="0" borderId="75" xfId="0" applyNumberFormat="1" applyFont="1" applyBorder="1" applyAlignment="1" applyProtection="1">
      <alignment horizontal="right"/>
    </xf>
    <xf numFmtId="171" fontId="9" fillId="0" borderId="52" xfId="0" applyNumberFormat="1" applyFont="1" applyBorder="1" applyAlignment="1" applyProtection="1">
      <alignment horizontal="right"/>
    </xf>
    <xf numFmtId="168" fontId="9" fillId="0" borderId="18" xfId="0" applyNumberFormat="1" applyFont="1" applyBorder="1"/>
    <xf numFmtId="168" fontId="9" fillId="0" borderId="73" xfId="0" applyNumberFormat="1" applyFont="1" applyBorder="1"/>
    <xf numFmtId="0" fontId="8" fillId="0" borderId="16" xfId="0" applyFont="1" applyBorder="1" applyProtection="1"/>
    <xf numFmtId="0" fontId="8" fillId="0" borderId="24" xfId="0" applyNumberFormat="1" applyFont="1" applyBorder="1" applyAlignment="1" applyProtection="1">
      <alignment horizontal="center"/>
    </xf>
    <xf numFmtId="171" fontId="8" fillId="0" borderId="24" xfId="0" applyNumberFormat="1" applyFont="1" applyBorder="1" applyProtection="1"/>
    <xf numFmtId="171" fontId="8" fillId="0" borderId="17" xfId="0" applyNumberFormat="1" applyFont="1" applyBorder="1" applyProtection="1"/>
    <xf numFmtId="171" fontId="8" fillId="0" borderId="14" xfId="0" applyNumberFormat="1" applyFont="1" applyBorder="1" applyProtection="1"/>
    <xf numFmtId="171" fontId="8" fillId="0" borderId="33" xfId="0" applyNumberFormat="1" applyFont="1" applyBorder="1" applyProtection="1"/>
    <xf numFmtId="0" fontId="11" fillId="0" borderId="15" xfId="0" applyFont="1" applyBorder="1" applyProtection="1"/>
    <xf numFmtId="0" fontId="8" fillId="0" borderId="23" xfId="0" applyNumberFormat="1" applyFont="1" applyBorder="1" applyAlignment="1" applyProtection="1">
      <alignment horizontal="center"/>
    </xf>
    <xf numFmtId="171" fontId="8" fillId="0" borderId="23" xfId="0" applyNumberFormat="1" applyFont="1" applyBorder="1" applyProtection="1"/>
    <xf numFmtId="171" fontId="8" fillId="0" borderId="65" xfId="0" applyNumberFormat="1" applyFont="1" applyBorder="1" applyProtection="1"/>
    <xf numFmtId="171" fontId="8" fillId="0" borderId="12" xfId="0" applyNumberFormat="1" applyFont="1" applyBorder="1" applyProtection="1"/>
    <xf numFmtId="171" fontId="8" fillId="0" borderId="25" xfId="0" applyNumberFormat="1" applyFont="1" applyBorder="1" applyProtection="1"/>
    <xf numFmtId="0" fontId="9" fillId="0" borderId="11" xfId="0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171" fontId="9" fillId="0" borderId="22" xfId="0" applyNumberFormat="1" applyFont="1" applyBorder="1" applyAlignment="1" applyProtection="1">
      <alignment horizontal="right"/>
    </xf>
    <xf numFmtId="171" fontId="9" fillId="0" borderId="13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 applyProtection="1">
      <alignment horizontal="right"/>
    </xf>
    <xf numFmtId="171" fontId="8" fillId="28" borderId="0" xfId="0" applyNumberFormat="1" applyFont="1" applyFill="1" applyBorder="1" applyProtection="1">
      <protection locked="0"/>
    </xf>
    <xf numFmtId="168" fontId="8" fillId="0" borderId="10" xfId="0" applyNumberFormat="1" applyFont="1" applyFill="1" applyBorder="1"/>
    <xf numFmtId="171" fontId="9" fillId="0" borderId="75" xfId="0" applyNumberFormat="1" applyFont="1" applyBorder="1"/>
    <xf numFmtId="171" fontId="9" fillId="0" borderId="52" xfId="0" applyNumberFormat="1" applyFont="1" applyBorder="1"/>
    <xf numFmtId="168" fontId="9" fillId="0" borderId="13" xfId="0" applyNumberFormat="1" applyFont="1" applyBorder="1"/>
    <xf numFmtId="0" fontId="8" fillId="0" borderId="29" xfId="0" applyNumberFormat="1" applyFont="1" applyBorder="1" applyAlignment="1" applyProtection="1">
      <alignment horizontal="center"/>
      <protection locked="0"/>
    </xf>
    <xf numFmtId="171" fontId="9" fillId="0" borderId="29" xfId="0" applyNumberFormat="1" applyFont="1" applyFill="1" applyBorder="1"/>
    <xf numFmtId="171" fontId="9" fillId="0" borderId="76" xfId="0" applyNumberFormat="1" applyFont="1" applyBorder="1"/>
    <xf numFmtId="168" fontId="9" fillId="0" borderId="77" xfId="0" applyNumberFormat="1" applyFont="1" applyBorder="1"/>
    <xf numFmtId="168" fontId="9" fillId="0" borderId="78" xfId="0" applyNumberFormat="1" applyFont="1" applyBorder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8" fontId="9" fillId="0" borderId="0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quotePrefix="1" applyFont="1" applyBorder="1" applyProtection="1"/>
    <xf numFmtId="0" fontId="9" fillId="0" borderId="0" xfId="0" applyFont="1" applyBorder="1" applyProtection="1">
      <protection locked="0"/>
    </xf>
    <xf numFmtId="168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4" fontId="8" fillId="0" borderId="0" xfId="28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9" fontId="9" fillId="0" borderId="22" xfId="43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1" fontId="9" fillId="0" borderId="37" xfId="0" applyNumberFormat="1" applyFont="1" applyBorder="1" applyAlignment="1">
      <alignment horizontal="right"/>
    </xf>
    <xf numFmtId="171" fontId="9" fillId="0" borderId="79" xfId="0" applyNumberFormat="1" applyFont="1" applyBorder="1" applyAlignment="1" applyProtection="1">
      <alignment horizontal="right"/>
    </xf>
    <xf numFmtId="171" fontId="8" fillId="0" borderId="70" xfId="0" applyNumberFormat="1" applyFont="1" applyBorder="1" applyProtection="1"/>
    <xf numFmtId="171" fontId="8" fillId="0" borderId="80" xfId="0" applyNumberFormat="1" applyFont="1" applyBorder="1" applyProtection="1"/>
    <xf numFmtId="171" fontId="9" fillId="0" borderId="37" xfId="0" applyNumberFormat="1" applyFont="1" applyBorder="1" applyAlignment="1" applyProtection="1">
      <alignment horizontal="right"/>
    </xf>
    <xf numFmtId="171" fontId="9" fillId="0" borderId="79" xfId="0" applyNumberFormat="1" applyFont="1" applyBorder="1"/>
    <xf numFmtId="171" fontId="9" fillId="0" borderId="34" xfId="0" applyNumberFormat="1" applyFont="1" applyFill="1" applyBorder="1"/>
    <xf numFmtId="0" fontId="8" fillId="0" borderId="25" xfId="0" applyFont="1" applyBorder="1"/>
    <xf numFmtId="0" fontId="8" fillId="0" borderId="23" xfId="0" applyFont="1" applyBorder="1"/>
    <xf numFmtId="171" fontId="9" fillId="0" borderId="30" xfId="0" applyNumberFormat="1" applyFont="1" applyFill="1" applyBorder="1"/>
    <xf numFmtId="171" fontId="9" fillId="0" borderId="49" xfId="0" applyNumberFormat="1" applyFont="1" applyBorder="1"/>
    <xf numFmtId="171" fontId="8" fillId="0" borderId="43" xfId="0" applyNumberFormat="1" applyFont="1" applyBorder="1"/>
    <xf numFmtId="9" fontId="8" fillId="0" borderId="43" xfId="43" applyFont="1" applyBorder="1" applyAlignment="1">
      <alignment horizontal="center"/>
    </xf>
    <xf numFmtId="171" fontId="9" fillId="0" borderId="68" xfId="0" applyNumberFormat="1" applyFont="1" applyBorder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6" xfId="0" applyFont="1" applyBorder="1" applyAlignment="1">
      <alignment horizontal="center" vertical="top"/>
    </xf>
    <xf numFmtId="171" fontId="9" fillId="0" borderId="55" xfId="0" applyNumberFormat="1" applyFont="1" applyBorder="1" applyAlignment="1">
      <alignment vertical="top"/>
    </xf>
    <xf numFmtId="171" fontId="9" fillId="0" borderId="32" xfId="0" applyNumberFormat="1" applyFont="1" applyBorder="1" applyAlignment="1">
      <alignment vertical="top"/>
    </xf>
    <xf numFmtId="171" fontId="9" fillId="0" borderId="31" xfId="0" applyNumberFormat="1" applyFont="1" applyBorder="1" applyAlignment="1">
      <alignment vertical="top"/>
    </xf>
    <xf numFmtId="9" fontId="9" fillId="0" borderId="31" xfId="43" applyFont="1" applyBorder="1" applyAlignment="1">
      <alignment horizontal="center" vertical="top"/>
    </xf>
    <xf numFmtId="171" fontId="9" fillId="0" borderId="47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wrapText="1"/>
    </xf>
    <xf numFmtId="171" fontId="9" fillId="0" borderId="43" xfId="0" applyNumberFormat="1" applyFont="1" applyBorder="1" applyAlignment="1">
      <alignment vertical="top"/>
    </xf>
    <xf numFmtId="171" fontId="9" fillId="0" borderId="49" xfId="0" applyNumberFormat="1" applyFont="1" applyBorder="1" applyAlignment="1">
      <alignment vertical="top"/>
    </xf>
    <xf numFmtId="171" fontId="9" fillId="0" borderId="60" xfId="0" applyNumberFormat="1" applyFont="1" applyBorder="1" applyAlignment="1">
      <alignment vertical="top"/>
    </xf>
    <xf numFmtId="171" fontId="8" fillId="0" borderId="10" xfId="0" applyNumberFormat="1" applyFont="1" applyFill="1" applyBorder="1"/>
    <xf numFmtId="171" fontId="8" fillId="0" borderId="45" xfId="0" applyNumberFormat="1" applyFont="1" applyFill="1" applyBorder="1"/>
    <xf numFmtId="171" fontId="8" fillId="0" borderId="10" xfId="0" applyNumberFormat="1" applyFont="1" applyFill="1" applyBorder="1" applyProtection="1">
      <protection locked="0"/>
    </xf>
    <xf numFmtId="171" fontId="8" fillId="0" borderId="45" xfId="0" applyNumberFormat="1" applyFont="1" applyFill="1" applyBorder="1" applyProtection="1">
      <protection locked="0"/>
    </xf>
    <xf numFmtId="171" fontId="8" fillId="0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 applyProtection="1">
      <protection locked="0"/>
    </xf>
    <xf numFmtId="0" fontId="9" fillId="0" borderId="27" xfId="0" applyFont="1" applyBorder="1" applyAlignment="1">
      <alignment horizontal="left"/>
    </xf>
    <xf numFmtId="0" fontId="8" fillId="0" borderId="11" xfId="0" applyFont="1" applyFill="1" applyBorder="1" applyAlignment="1">
      <alignment horizontal="left" indent="2"/>
    </xf>
    <xf numFmtId="0" fontId="9" fillId="0" borderId="38" xfId="0" applyFont="1" applyBorder="1"/>
    <xf numFmtId="0" fontId="8" fillId="0" borderId="56" xfId="0" applyFont="1" applyBorder="1" applyAlignment="1">
      <alignment horizontal="center"/>
    </xf>
    <xf numFmtId="171" fontId="9" fillId="0" borderId="38" xfId="0" applyNumberFormat="1" applyFont="1" applyFill="1" applyBorder="1"/>
    <xf numFmtId="171" fontId="9" fillId="0" borderId="64" xfId="0" applyNumberFormat="1" applyFont="1" applyFill="1" applyBorder="1"/>
    <xf numFmtId="9" fontId="9" fillId="0" borderId="29" xfId="43" applyFont="1" applyFill="1" applyBorder="1" applyAlignment="1">
      <alignment horizontal="center"/>
    </xf>
    <xf numFmtId="171" fontId="9" fillId="0" borderId="56" xfId="0" applyNumberFormat="1" applyFont="1" applyFill="1" applyBorder="1"/>
    <xf numFmtId="171" fontId="9" fillId="0" borderId="60" xfId="0" applyNumberFormat="1" applyFont="1" applyBorder="1"/>
    <xf numFmtId="171" fontId="9" fillId="0" borderId="31" xfId="0" applyNumberFormat="1" applyFont="1" applyFill="1" applyBorder="1"/>
    <xf numFmtId="0" fontId="8" fillId="0" borderId="37" xfId="0" applyFont="1" applyFill="1" applyBorder="1" applyAlignment="1">
      <alignment horizontal="left" vertical="top" wrapText="1"/>
    </xf>
    <xf numFmtId="0" fontId="9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9" fillId="0" borderId="38" xfId="0" applyNumberFormat="1" applyFont="1" applyBorder="1"/>
    <xf numFmtId="171" fontId="9" fillId="25" borderId="30" xfId="0" applyNumberFormat="1" applyFont="1" applyFill="1" applyBorder="1"/>
    <xf numFmtId="171" fontId="8" fillId="0" borderId="26" xfId="0" applyNumberFormat="1" applyFont="1" applyFill="1" applyBorder="1" applyProtection="1">
      <protection locked="0"/>
    </xf>
    <xf numFmtId="167" fontId="8" fillId="0" borderId="22" xfId="43" applyNumberFormat="1" applyFont="1" applyFill="1" applyBorder="1" applyAlignment="1" applyProtection="1">
      <alignment horizontal="center" vertical="top" wrapText="1"/>
      <protection locked="0"/>
    </xf>
    <xf numFmtId="171" fontId="8" fillId="0" borderId="43" xfId="0" applyNumberFormat="1" applyFont="1" applyFill="1" applyBorder="1" applyProtection="1">
      <protection locked="0"/>
    </xf>
    <xf numFmtId="167" fontId="8" fillId="0" borderId="43" xfId="43" applyNumberFormat="1" applyFont="1" applyFill="1" applyBorder="1" applyAlignment="1" applyProtection="1">
      <alignment horizontal="center" vertical="top" wrapText="1"/>
      <protection locked="0"/>
    </xf>
    <xf numFmtId="171" fontId="8" fillId="0" borderId="52" xfId="0" applyNumberFormat="1" applyFont="1" applyFill="1" applyBorder="1" applyProtection="1">
      <protection locked="0"/>
    </xf>
    <xf numFmtId="167" fontId="8" fillId="0" borderId="43" xfId="43" applyNumberFormat="1" applyFont="1" applyFill="1" applyBorder="1" applyAlignment="1">
      <alignment horizontal="center" vertical="top" wrapText="1"/>
    </xf>
    <xf numFmtId="167" fontId="9" fillId="0" borderId="43" xfId="43" applyNumberFormat="1" applyFont="1" applyFill="1" applyBorder="1" applyAlignment="1">
      <alignment horizontal="center" vertical="top" wrapText="1"/>
    </xf>
    <xf numFmtId="0" fontId="8" fillId="0" borderId="59" xfId="0" applyFont="1" applyBorder="1"/>
    <xf numFmtId="171" fontId="8" fillId="0" borderId="67" xfId="0" applyNumberFormat="1" applyFont="1" applyBorder="1"/>
    <xf numFmtId="0" fontId="9" fillId="0" borderId="27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vertical="center"/>
    </xf>
    <xf numFmtId="0" fontId="11" fillId="0" borderId="27" xfId="0" applyFont="1" applyBorder="1"/>
    <xf numFmtId="168" fontId="8" fillId="0" borderId="38" xfId="0" quotePrefix="1" applyNumberFormat="1" applyFont="1" applyBorder="1" applyAlignment="1">
      <alignment horizontal="center"/>
    </xf>
    <xf numFmtId="168" fontId="8" fillId="0" borderId="30" xfId="0" quotePrefix="1" applyNumberFormat="1" applyFont="1" applyBorder="1" applyAlignment="1">
      <alignment horizontal="center"/>
    </xf>
    <xf numFmtId="168" fontId="8" fillId="0" borderId="29" xfId="0" quotePrefix="1" applyNumberFormat="1" applyFont="1" applyBorder="1" applyAlignment="1">
      <alignment horizontal="center"/>
    </xf>
    <xf numFmtId="168" fontId="8" fillId="0" borderId="29" xfId="0" applyNumberFormat="1" applyFont="1" applyBorder="1" applyAlignment="1">
      <alignment horizontal="center"/>
    </xf>
    <xf numFmtId="168" fontId="8" fillId="0" borderId="56" xfId="0" quotePrefix="1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 indent="1"/>
    </xf>
    <xf numFmtId="0" fontId="11" fillId="0" borderId="11" xfId="0" applyFont="1" applyBorder="1" applyAlignment="1">
      <alignment horizontal="left"/>
    </xf>
    <xf numFmtId="0" fontId="9" fillId="0" borderId="27" xfId="0" applyNumberFormat="1" applyFont="1" applyBorder="1"/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9" fillId="0" borderId="40" xfId="0" applyFont="1" applyBorder="1" applyAlignment="1">
      <alignment wrapText="1"/>
    </xf>
    <xf numFmtId="171" fontId="8" fillId="0" borderId="68" xfId="0" applyNumberFormat="1" applyFont="1" applyBorder="1"/>
    <xf numFmtId="171" fontId="8" fillId="0" borderId="52" xfId="0" applyNumberFormat="1" applyFont="1" applyBorder="1"/>
    <xf numFmtId="171" fontId="8" fillId="0" borderId="49" xfId="0" applyNumberFormat="1" applyFont="1" applyBorder="1"/>
    <xf numFmtId="0" fontId="12" fillId="0" borderId="11" xfId="0" applyNumberFormat="1" applyFont="1" applyBorder="1" applyAlignment="1">
      <alignment horizontal="left" indent="2"/>
    </xf>
    <xf numFmtId="167" fontId="9" fillId="0" borderId="37" xfId="43" applyNumberFormat="1" applyFont="1" applyFill="1" applyBorder="1" applyAlignment="1">
      <alignment horizontal="center" vertical="top" wrapText="1"/>
    </xf>
    <xf numFmtId="171" fontId="9" fillId="0" borderId="54" xfId="0" applyNumberFormat="1" applyFont="1" applyBorder="1"/>
    <xf numFmtId="171" fontId="9" fillId="0" borderId="62" xfId="0" applyNumberFormat="1" applyFont="1" applyBorder="1"/>
    <xf numFmtId="171" fontId="9" fillId="0" borderId="36" xfId="0" applyNumberFormat="1" applyFont="1" applyBorder="1"/>
    <xf numFmtId="167" fontId="9" fillId="0" borderId="36" xfId="43" applyNumberFormat="1" applyFont="1" applyFill="1" applyBorder="1" applyAlignment="1">
      <alignment horizontal="center" vertical="top" wrapText="1"/>
    </xf>
    <xf numFmtId="171" fontId="9" fillId="0" borderId="51" xfId="0" applyNumberFormat="1" applyFont="1" applyBorder="1"/>
    <xf numFmtId="0" fontId="12" fillId="0" borderId="11" xfId="0" applyFont="1" applyFill="1" applyBorder="1" applyAlignment="1" applyProtection="1">
      <alignment horizontal="left" indent="1"/>
      <protection locked="0"/>
    </xf>
    <xf numFmtId="0" fontId="8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12" fillId="0" borderId="0" xfId="0" applyFont="1" applyBorder="1" applyProtection="1"/>
    <xf numFmtId="0" fontId="8" fillId="0" borderId="31" xfId="0" applyFont="1" applyBorder="1" applyAlignment="1">
      <alignment horizontal="center"/>
    </xf>
    <xf numFmtId="0" fontId="9" fillId="0" borderId="35" xfId="0" applyNumberFormat="1" applyFont="1" applyBorder="1" applyAlignment="1">
      <alignment horizontal="left" wrapText="1"/>
    </xf>
    <xf numFmtId="0" fontId="8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73" fontId="3" fillId="0" borderId="11" xfId="0" applyNumberFormat="1" applyFont="1" applyBorder="1" applyAlignment="1">
      <alignment horizontal="left"/>
    </xf>
    <xf numFmtId="172" fontId="8" fillId="0" borderId="45" xfId="43" applyNumberFormat="1" applyFont="1" applyBorder="1"/>
    <xf numFmtId="172" fontId="9" fillId="0" borderId="22" xfId="43" applyNumberFormat="1" applyFont="1" applyBorder="1" applyAlignment="1">
      <alignment vertical="top"/>
    </xf>
    <xf numFmtId="172" fontId="9" fillId="0" borderId="45" xfId="43" applyNumberFormat="1" applyFont="1" applyBorder="1" applyAlignment="1">
      <alignment vertical="top"/>
    </xf>
    <xf numFmtId="172" fontId="9" fillId="0" borderId="43" xfId="43" applyNumberFormat="1" applyFont="1" applyBorder="1"/>
    <xf numFmtId="170" fontId="9" fillId="25" borderId="22" xfId="0" applyNumberFormat="1" applyFont="1" applyFill="1" applyBorder="1"/>
    <xf numFmtId="172" fontId="9" fillId="25" borderId="22" xfId="43" applyNumberFormat="1" applyFont="1" applyFill="1" applyBorder="1"/>
    <xf numFmtId="171" fontId="9" fillId="0" borderId="47" xfId="0" applyNumberFormat="1" applyFont="1" applyFill="1" applyBorder="1"/>
    <xf numFmtId="171" fontId="9" fillId="0" borderId="61" xfId="0" applyNumberFormat="1" applyFont="1" applyFill="1" applyBorder="1"/>
    <xf numFmtId="9" fontId="9" fillId="0" borderId="31" xfId="43" applyFont="1" applyFill="1" applyBorder="1" applyAlignment="1">
      <alignment horizontal="center"/>
    </xf>
    <xf numFmtId="171" fontId="9" fillId="0" borderId="81" xfId="0" applyNumberFormat="1" applyFont="1" applyFill="1" applyBorder="1"/>
    <xf numFmtId="171" fontId="9" fillId="0" borderId="10" xfId="0" applyNumberFormat="1" applyFont="1" applyFill="1" applyBorder="1"/>
    <xf numFmtId="171" fontId="9" fillId="0" borderId="26" xfId="0" applyNumberFormat="1" applyFont="1" applyFill="1" applyBorder="1"/>
    <xf numFmtId="171" fontId="9" fillId="0" borderId="46" xfId="0" applyNumberFormat="1" applyFont="1" applyFill="1" applyBorder="1"/>
    <xf numFmtId="0" fontId="8" fillId="0" borderId="22" xfId="0" applyNumberFormat="1" applyFont="1" applyBorder="1" applyAlignment="1">
      <alignment horizontal="center"/>
    </xf>
    <xf numFmtId="171" fontId="9" fillId="0" borderId="31" xfId="0" applyNumberFormat="1" applyFont="1" applyFill="1" applyBorder="1" applyProtection="1"/>
    <xf numFmtId="171" fontId="9" fillId="0" borderId="47" xfId="0" applyNumberFormat="1" applyFont="1" applyFill="1" applyBorder="1" applyProtection="1"/>
    <xf numFmtId="0" fontId="8" fillId="0" borderId="26" xfId="0" applyNumberFormat="1" applyFont="1" applyFill="1" applyBorder="1" applyAlignment="1" applyProtection="1">
      <alignment horizontal="left" indent="2"/>
    </xf>
    <xf numFmtId="171" fontId="8" fillId="0" borderId="43" xfId="0" applyNumberFormat="1" applyFont="1" applyFill="1" applyBorder="1" applyProtection="1"/>
    <xf numFmtId="171" fontId="8" fillId="0" borderId="52" xfId="0" applyNumberFormat="1" applyFont="1" applyFill="1" applyBorder="1" applyProtection="1"/>
    <xf numFmtId="171" fontId="8" fillId="0" borderId="49" xfId="0" applyNumberFormat="1" applyFont="1" applyFill="1" applyBorder="1" applyProtection="1"/>
    <xf numFmtId="171" fontId="9" fillId="0" borderId="43" xfId="0" applyNumberFormat="1" applyFont="1" applyFill="1" applyBorder="1" applyProtection="1"/>
    <xf numFmtId="171" fontId="9" fillId="0" borderId="79" xfId="0" applyNumberFormat="1" applyFont="1" applyFill="1" applyBorder="1" applyProtection="1"/>
    <xf numFmtId="171" fontId="9" fillId="0" borderId="52" xfId="0" applyNumberFormat="1" applyFont="1" applyFill="1" applyBorder="1" applyProtection="1"/>
    <xf numFmtId="171" fontId="9" fillId="0" borderId="49" xfId="0" applyNumberFormat="1" applyFont="1" applyFill="1" applyBorder="1" applyProtection="1"/>
    <xf numFmtId="0" fontId="9" fillId="0" borderId="11" xfId="0" applyNumberFormat="1" applyFont="1" applyBorder="1" applyProtection="1"/>
    <xf numFmtId="171" fontId="9" fillId="0" borderId="43" xfId="0" applyNumberFormat="1" applyFont="1" applyFill="1" applyBorder="1"/>
    <xf numFmtId="171" fontId="9" fillId="0" borderId="49" xfId="0" applyNumberFormat="1" applyFont="1" applyFill="1" applyBorder="1"/>
    <xf numFmtId="0" fontId="8" fillId="0" borderId="11" xfId="0" applyNumberFormat="1" applyFont="1" applyBorder="1" applyProtection="1"/>
    <xf numFmtId="0" fontId="11" fillId="0" borderId="11" xfId="0" applyNumberFormat="1" applyFont="1" applyBorder="1" applyProtection="1"/>
    <xf numFmtId="0" fontId="14" fillId="0" borderId="22" xfId="0" applyNumberFormat="1" applyFont="1" applyBorder="1" applyAlignment="1" applyProtection="1">
      <alignment horizontal="center"/>
    </xf>
    <xf numFmtId="0" fontId="9" fillId="0" borderId="27" xfId="0" applyNumberFormat="1" applyFont="1" applyBorder="1" applyProtection="1"/>
    <xf numFmtId="0" fontId="8" fillId="0" borderId="29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168" fontId="10" fillId="0" borderId="0" xfId="0" applyNumberFormat="1" applyFont="1" applyBorder="1" applyProtection="1">
      <protection locked="0"/>
    </xf>
    <xf numFmtId="0" fontId="10" fillId="0" borderId="0" xfId="0" applyFont="1" applyBorder="1" applyProtection="1"/>
    <xf numFmtId="168" fontId="10" fillId="0" borderId="0" xfId="0" applyNumberFormat="1" applyFont="1" applyBorder="1" applyProtection="1"/>
    <xf numFmtId="164" fontId="12" fillId="0" borderId="0" xfId="28" applyNumberFormat="1" applyFont="1" applyBorder="1" applyAlignment="1">
      <alignment horizontal="right"/>
    </xf>
    <xf numFmtId="164" fontId="12" fillId="0" borderId="0" xfId="28" applyNumberFormat="1" applyFont="1" applyFill="1" applyBorder="1" applyAlignment="1">
      <alignment horizontal="right"/>
    </xf>
    <xf numFmtId="171" fontId="8" fillId="0" borderId="0" xfId="0" applyNumberFormat="1" applyFont="1"/>
    <xf numFmtId="0" fontId="9" fillId="0" borderId="23" xfId="0" applyFont="1" applyFill="1" applyBorder="1" applyAlignment="1">
      <alignment horizontal="center"/>
    </xf>
    <xf numFmtId="171" fontId="8" fillId="0" borderId="31" xfId="0" applyNumberFormat="1" applyFont="1" applyFill="1" applyBorder="1"/>
    <xf numFmtId="9" fontId="8" fillId="0" borderId="31" xfId="43" applyFont="1" applyFill="1" applyBorder="1" applyAlignment="1">
      <alignment horizontal="center"/>
    </xf>
    <xf numFmtId="171" fontId="9" fillId="0" borderId="24" xfId="0" applyNumberFormat="1" applyFont="1" applyFill="1" applyBorder="1"/>
    <xf numFmtId="168" fontId="10" fillId="0" borderId="0" xfId="0" applyNumberFormat="1" applyFont="1" applyFill="1" applyBorder="1" applyProtection="1">
      <protection locked="0"/>
    </xf>
    <xf numFmtId="168" fontId="10" fillId="0" borderId="0" xfId="0" applyNumberFormat="1" applyFont="1" applyFill="1" applyBorder="1" applyProtection="1"/>
    <xf numFmtId="171" fontId="9" fillId="0" borderId="22" xfId="0" applyNumberFormat="1" applyFont="1" applyFill="1" applyBorder="1" applyProtection="1"/>
    <xf numFmtId="9" fontId="9" fillId="0" borderId="24" xfId="43" applyFont="1" applyFill="1" applyBorder="1" applyAlignment="1">
      <alignment horizontal="center"/>
    </xf>
    <xf numFmtId="171" fontId="9" fillId="0" borderId="50" xfId="0" applyNumberFormat="1" applyFont="1" applyFill="1" applyBorder="1"/>
    <xf numFmtId="171" fontId="9" fillId="0" borderId="58" xfId="0" applyNumberFormat="1" applyFont="1" applyFill="1" applyBorder="1"/>
    <xf numFmtId="171" fontId="9" fillId="0" borderId="46" xfId="0" applyNumberFormat="1" applyFont="1" applyFill="1" applyBorder="1" applyProtection="1"/>
    <xf numFmtId="171" fontId="8" fillId="0" borderId="46" xfId="0" applyNumberFormat="1" applyFont="1" applyFill="1" applyBorder="1" applyProtection="1"/>
    <xf numFmtId="171" fontId="8" fillId="0" borderId="46" xfId="29" applyNumberFormat="1" applyFont="1" applyFill="1" applyBorder="1" applyProtection="1"/>
    <xf numFmtId="171" fontId="9" fillId="0" borderId="55" xfId="0" applyNumberFormat="1" applyFont="1" applyFill="1" applyBorder="1"/>
    <xf numFmtId="171" fontId="8" fillId="0" borderId="13" xfId="0" applyNumberFormat="1" applyFont="1" applyFill="1" applyBorder="1"/>
    <xf numFmtId="0" fontId="0" fillId="0" borderId="0" xfId="0" applyProtection="1"/>
    <xf numFmtId="0" fontId="4" fillId="29" borderId="73" xfId="0" applyFont="1" applyFill="1" applyBorder="1" applyAlignment="1" applyProtection="1">
      <alignment horizontal="center"/>
    </xf>
    <xf numFmtId="171" fontId="8" fillId="0" borderId="10" xfId="0" applyNumberFormat="1" applyFont="1" applyFill="1" applyBorder="1" applyProtection="1"/>
    <xf numFmtId="171" fontId="8" fillId="0" borderId="26" xfId="0" applyNumberFormat="1" applyFont="1" applyFill="1" applyBorder="1" applyProtection="1"/>
    <xf numFmtId="171" fontId="8" fillId="0" borderId="37" xfId="0" applyNumberFormat="1" applyFont="1" applyFill="1" applyBorder="1" applyProtection="1"/>
    <xf numFmtId="171" fontId="8" fillId="0" borderId="54" xfId="0" applyNumberFormat="1" applyFont="1" applyFill="1" applyBorder="1" applyProtection="1"/>
    <xf numFmtId="171" fontId="8" fillId="0" borderId="67" xfId="0" applyNumberFormat="1" applyFont="1" applyFill="1" applyBorder="1" applyProtection="1"/>
    <xf numFmtId="171" fontId="8" fillId="0" borderId="82" xfId="0" applyNumberFormat="1" applyFont="1" applyFill="1" applyBorder="1" applyProtection="1"/>
    <xf numFmtId="171" fontId="8" fillId="0" borderId="51" xfId="0" applyNumberFormat="1" applyFont="1" applyFill="1" applyBorder="1" applyProtection="1"/>
    <xf numFmtId="171" fontId="9" fillId="0" borderId="10" xfId="0" applyNumberFormat="1" applyFont="1" applyFill="1" applyBorder="1" applyAlignment="1" applyProtection="1">
      <alignment vertical="top"/>
    </xf>
    <xf numFmtId="171" fontId="9" fillId="0" borderId="26" xfId="0" applyNumberFormat="1" applyFont="1" applyFill="1" applyBorder="1" applyAlignment="1" applyProtection="1">
      <alignment vertical="top"/>
    </xf>
    <xf numFmtId="171" fontId="9" fillId="0" borderId="22" xfId="0" applyNumberFormat="1" applyFont="1" applyFill="1" applyBorder="1" applyAlignment="1" applyProtection="1">
      <alignment vertical="top"/>
    </xf>
    <xf numFmtId="171" fontId="9" fillId="0" borderId="37" xfId="0" applyNumberFormat="1" applyFont="1" applyFill="1" applyBorder="1" applyAlignment="1" applyProtection="1">
      <alignment vertical="top"/>
    </xf>
    <xf numFmtId="171" fontId="9" fillId="0" borderId="46" xfId="0" applyNumberFormat="1" applyFont="1" applyFill="1" applyBorder="1" applyAlignment="1" applyProtection="1">
      <alignment vertical="top"/>
    </xf>
    <xf numFmtId="171" fontId="9" fillId="0" borderId="54" xfId="0" applyNumberFormat="1" applyFont="1" applyFill="1" applyBorder="1" applyProtection="1"/>
    <xf numFmtId="171" fontId="9" fillId="0" borderId="67" xfId="0" applyNumberFormat="1" applyFont="1" applyFill="1" applyBorder="1" applyProtection="1"/>
    <xf numFmtId="171" fontId="9" fillId="0" borderId="36" xfId="0" applyNumberFormat="1" applyFont="1" applyFill="1" applyBorder="1" applyProtection="1"/>
    <xf numFmtId="171" fontId="9" fillId="0" borderId="82" xfId="0" applyNumberFormat="1" applyFont="1" applyFill="1" applyBorder="1" applyProtection="1"/>
    <xf numFmtId="171" fontId="9" fillId="0" borderId="51" xfId="0" applyNumberFormat="1" applyFont="1" applyFill="1" applyBorder="1" applyProtection="1"/>
    <xf numFmtId="171" fontId="9" fillId="0" borderId="10" xfId="0" applyNumberFormat="1" applyFont="1" applyFill="1" applyBorder="1" applyProtection="1"/>
    <xf numFmtId="171" fontId="9" fillId="0" borderId="26" xfId="0" applyNumberFormat="1" applyFont="1" applyFill="1" applyBorder="1" applyProtection="1"/>
    <xf numFmtId="171" fontId="9" fillId="0" borderId="37" xfId="0" applyNumberFormat="1" applyFont="1" applyFill="1" applyBorder="1" applyProtection="1"/>
    <xf numFmtId="171" fontId="9" fillId="0" borderId="68" xfId="0" applyNumberFormat="1" applyFont="1" applyFill="1" applyBorder="1" applyProtection="1"/>
    <xf numFmtId="171" fontId="9" fillId="0" borderId="45" xfId="0" applyNumberFormat="1" applyFont="1" applyFill="1" applyBorder="1" applyProtection="1"/>
    <xf numFmtId="171" fontId="8" fillId="0" borderId="45" xfId="0" applyNumberFormat="1" applyFont="1" applyFill="1" applyBorder="1" applyProtection="1"/>
    <xf numFmtId="171" fontId="8" fillId="0" borderId="45" xfId="28" applyNumberFormat="1" applyFont="1" applyFill="1" applyBorder="1" applyProtection="1"/>
    <xf numFmtId="171" fontId="8" fillId="0" borderId="22" xfId="28" applyNumberFormat="1" applyFont="1" applyFill="1" applyBorder="1" applyProtection="1"/>
    <xf numFmtId="171" fontId="8" fillId="0" borderId="46" xfId="28" applyNumberFormat="1" applyFont="1" applyFill="1" applyBorder="1" applyProtection="1"/>
    <xf numFmtId="9" fontId="8" fillId="0" borderId="46" xfId="43" applyFont="1" applyFill="1" applyBorder="1" applyAlignment="1" applyProtection="1">
      <alignment horizontal="center"/>
    </xf>
    <xf numFmtId="171" fontId="8" fillId="0" borderId="46" xfId="0" applyNumberFormat="1" applyFont="1" applyFill="1" applyBorder="1" applyAlignment="1" applyProtection="1">
      <alignment horizontal="center"/>
    </xf>
    <xf numFmtId="171" fontId="8" fillId="0" borderId="51" xfId="0" applyNumberFormat="1" applyFont="1" applyFill="1" applyBorder="1" applyAlignment="1" applyProtection="1">
      <alignment horizontal="center"/>
    </xf>
    <xf numFmtId="171" fontId="8" fillId="0" borderId="68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164" fontId="8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5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2" fillId="28" borderId="0" xfId="0" applyFont="1" applyFill="1" applyProtection="1">
      <protection locked="0"/>
    </xf>
    <xf numFmtId="0" fontId="36" fillId="0" borderId="14" xfId="0" applyFont="1" applyFill="1" applyBorder="1" applyAlignment="1" applyProtection="1">
      <alignment horizontal="left"/>
    </xf>
    <xf numFmtId="0" fontId="40" fillId="0" borderId="0" xfId="0" applyFont="1"/>
    <xf numFmtId="0" fontId="9" fillId="0" borderId="38" xfId="0" applyNumberFormat="1" applyFont="1" applyBorder="1" applyAlignment="1">
      <alignment horizontal="left"/>
    </xf>
    <xf numFmtId="0" fontId="40" fillId="0" borderId="10" xfId="0" applyFont="1" applyBorder="1" applyAlignment="1"/>
    <xf numFmtId="0" fontId="41" fillId="0" borderId="0" xfId="0" applyFont="1" applyBorder="1" applyAlignment="1">
      <alignment horizontal="center"/>
    </xf>
    <xf numFmtId="164" fontId="12" fillId="0" borderId="0" xfId="28" applyNumberFormat="1" applyFont="1"/>
    <xf numFmtId="0" fontId="9" fillId="24" borderId="65" xfId="0" applyFont="1" applyFill="1" applyBorder="1" applyAlignment="1">
      <alignment horizontal="center" vertical="top" wrapText="1"/>
    </xf>
    <xf numFmtId="0" fontId="9" fillId="24" borderId="3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indent="1"/>
    </xf>
    <xf numFmtId="165" fontId="12" fillId="0" borderId="0" xfId="28" applyNumberFormat="1" applyFont="1"/>
    <xf numFmtId="0" fontId="12" fillId="0" borderId="0" xfId="0" applyFont="1" applyAlignment="1">
      <alignment horizontal="center"/>
    </xf>
    <xf numFmtId="0" fontId="39" fillId="0" borderId="26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6" fontId="8" fillId="0" borderId="0" xfId="0" applyNumberFormat="1" applyFont="1" applyFill="1"/>
    <xf numFmtId="0" fontId="12" fillId="0" borderId="0" xfId="0" applyFont="1" applyFill="1" applyBorder="1" applyAlignment="1" applyProtection="1">
      <alignment horizontal="right"/>
    </xf>
    <xf numFmtId="167" fontId="9" fillId="0" borderId="0" xfId="43" applyNumberFormat="1" applyFont="1" applyFill="1" applyBorder="1" applyAlignment="1">
      <alignment horizontal="center" vertical="top" wrapText="1"/>
    </xf>
    <xf numFmtId="171" fontId="9" fillId="0" borderId="25" xfId="0" applyNumberFormat="1" applyFont="1" applyBorder="1"/>
    <xf numFmtId="171" fontId="9" fillId="0" borderId="23" xfId="0" applyNumberFormat="1" applyFont="1" applyBorder="1"/>
    <xf numFmtId="171" fontId="9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1" fillId="0" borderId="15" xfId="0" applyNumberFormat="1" applyFont="1" applyBorder="1"/>
    <xf numFmtId="0" fontId="12" fillId="0" borderId="0" xfId="0" applyNumberFormat="1" applyFont="1" applyBorder="1" applyProtection="1"/>
    <xf numFmtId="171" fontId="8" fillId="0" borderId="37" xfId="0" applyNumberFormat="1" applyFont="1" applyBorder="1" applyProtection="1"/>
    <xf numFmtId="171" fontId="8" fillId="0" borderId="26" xfId="0" applyNumberFormat="1" applyFont="1" applyBorder="1" applyProtection="1"/>
    <xf numFmtId="171" fontId="8" fillId="0" borderId="22" xfId="0" applyNumberFormat="1" applyFont="1" applyBorder="1" applyProtection="1"/>
    <xf numFmtId="171" fontId="8" fillId="0" borderId="0" xfId="0" applyNumberFormat="1" applyFont="1" applyBorder="1" applyProtection="1"/>
    <xf numFmtId="171" fontId="8" fillId="0" borderId="13" xfId="0" applyNumberFormat="1" applyFont="1" applyBorder="1" applyProtection="1"/>
    <xf numFmtId="171" fontId="8" fillId="0" borderId="23" xfId="0" applyNumberFormat="1" applyFont="1" applyBorder="1"/>
    <xf numFmtId="9" fontId="8" fillId="0" borderId="23" xfId="43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8" fillId="0" borderId="43" xfId="0" applyNumberFormat="1" applyFont="1" applyBorder="1" applyAlignment="1" applyProtection="1">
      <alignment horizontal="center"/>
      <protection locked="0"/>
    </xf>
    <xf numFmtId="9" fontId="9" fillId="0" borderId="22" xfId="43" applyFont="1" applyFill="1" applyBorder="1" applyAlignment="1">
      <alignment horizontal="center"/>
    </xf>
    <xf numFmtId="167" fontId="9" fillId="25" borderId="29" xfId="43" applyNumberFormat="1" applyFont="1" applyFill="1" applyBorder="1" applyAlignment="1">
      <alignment horizontal="center" vertical="top" wrapText="1"/>
    </xf>
    <xf numFmtId="167" fontId="9" fillId="0" borderId="22" xfId="0" applyNumberFormat="1" applyFont="1" applyBorder="1" applyAlignment="1">
      <alignment horizontal="center"/>
    </xf>
    <xf numFmtId="167" fontId="8" fillId="0" borderId="22" xfId="43" applyNumberFormat="1" applyFont="1" applyBorder="1" applyAlignment="1">
      <alignment horizontal="center"/>
    </xf>
    <xf numFmtId="167" fontId="9" fillId="0" borderId="31" xfId="0" applyNumberFormat="1" applyFont="1" applyBorder="1"/>
    <xf numFmtId="167" fontId="8" fillId="0" borderId="22" xfId="0" applyNumberFormat="1" applyFont="1" applyBorder="1"/>
    <xf numFmtId="167" fontId="9" fillId="0" borderId="43" xfId="43" applyNumberFormat="1" applyFont="1" applyBorder="1" applyAlignment="1">
      <alignment horizontal="center"/>
    </xf>
    <xf numFmtId="167" fontId="9" fillId="0" borderId="29" xfId="43" applyNumberFormat="1" applyFont="1" applyBorder="1" applyAlignment="1">
      <alignment horizontal="center"/>
    </xf>
    <xf numFmtId="171" fontId="9" fillId="0" borderId="47" xfId="43" applyNumberFormat="1" applyFont="1" applyFill="1" applyBorder="1"/>
    <xf numFmtId="0" fontId="3" fillId="32" borderId="39" xfId="0" applyFont="1" applyFill="1" applyBorder="1" applyAlignment="1" applyProtection="1">
      <alignment horizontal="center"/>
      <protection locked="0"/>
    </xf>
    <xf numFmtId="17" fontId="3" fillId="32" borderId="12" xfId="0" quotePrefix="1" applyNumberFormat="1" applyFont="1" applyFill="1" applyBorder="1" applyProtection="1">
      <protection locked="0"/>
    </xf>
    <xf numFmtId="0" fontId="3" fillId="32" borderId="12" xfId="0" applyFont="1" applyFill="1" applyBorder="1" applyProtection="1">
      <protection locked="0"/>
    </xf>
    <xf numFmtId="0" fontId="3" fillId="32" borderId="65" xfId="0" applyFont="1" applyFill="1" applyBorder="1" applyProtection="1">
      <protection locked="0"/>
    </xf>
    <xf numFmtId="0" fontId="3" fillId="32" borderId="10" xfId="0" applyFont="1" applyFill="1" applyBorder="1" applyAlignment="1" applyProtection="1">
      <alignment horizontal="center"/>
      <protection locked="0"/>
    </xf>
    <xf numFmtId="0" fontId="3" fillId="32" borderId="0" xfId="0" applyFont="1" applyFill="1" applyBorder="1" applyProtection="1">
      <protection locked="0"/>
    </xf>
    <xf numFmtId="0" fontId="3" fillId="32" borderId="13" xfId="0" applyFont="1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4" fillId="32" borderId="73" xfId="0" applyFont="1" applyFill="1" applyBorder="1" applyAlignment="1" applyProtection="1">
      <alignment horizontal="center"/>
      <protection locked="0"/>
    </xf>
    <xf numFmtId="0" fontId="3" fillId="32" borderId="0" xfId="0" applyFont="1" applyFill="1" applyAlignment="1" applyProtection="1">
      <alignment horizontal="center"/>
      <protection locked="0"/>
    </xf>
    <xf numFmtId="0" fontId="3" fillId="32" borderId="0" xfId="0" applyFont="1" applyFill="1" applyProtection="1">
      <protection locked="0"/>
    </xf>
    <xf numFmtId="0" fontId="3" fillId="32" borderId="0" xfId="0" applyFont="1" applyFill="1" applyAlignment="1" applyProtection="1">
      <alignment horizontal="left"/>
      <protection locked="0"/>
    </xf>
    <xf numFmtId="171" fontId="8" fillId="32" borderId="22" xfId="0" applyNumberFormat="1" applyFont="1" applyFill="1" applyBorder="1" applyProtection="1">
      <protection locked="0"/>
    </xf>
    <xf numFmtId="171" fontId="8" fillId="32" borderId="43" xfId="0" applyNumberFormat="1" applyFont="1" applyFill="1" applyBorder="1" applyProtection="1">
      <protection locked="0"/>
    </xf>
    <xf numFmtId="171" fontId="8" fillId="32" borderId="46" xfId="0" applyNumberFormat="1" applyFont="1" applyFill="1" applyBorder="1" applyProtection="1">
      <protection locked="0"/>
    </xf>
    <xf numFmtId="171" fontId="8" fillId="32" borderId="49" xfId="0" applyNumberFormat="1" applyFont="1" applyFill="1" applyBorder="1" applyProtection="1">
      <protection locked="0"/>
    </xf>
    <xf numFmtId="171" fontId="9" fillId="32" borderId="43" xfId="0" applyNumberFormat="1" applyFont="1" applyFill="1" applyBorder="1" applyProtection="1">
      <protection locked="0"/>
    </xf>
    <xf numFmtId="171" fontId="9" fillId="32" borderId="49" xfId="0" applyNumberFormat="1" applyFont="1" applyFill="1" applyBorder="1" applyProtection="1">
      <protection locked="0"/>
    </xf>
    <xf numFmtId="171" fontId="8" fillId="32" borderId="37" xfId="0" applyNumberFormat="1" applyFont="1" applyFill="1" applyBorder="1" applyAlignment="1" applyProtection="1">
      <alignment horizontal="right"/>
      <protection locked="0"/>
    </xf>
    <xf numFmtId="171" fontId="8" fillId="32" borderId="26" xfId="0" applyNumberFormat="1" applyFont="1" applyFill="1" applyBorder="1" applyAlignment="1" applyProtection="1">
      <alignment horizontal="right"/>
      <protection locked="0"/>
    </xf>
    <xf numFmtId="171" fontId="8" fillId="32" borderId="22" xfId="0" applyNumberFormat="1" applyFont="1" applyFill="1" applyBorder="1" applyAlignment="1" applyProtection="1">
      <alignment horizontal="right"/>
      <protection locked="0"/>
    </xf>
    <xf numFmtId="171" fontId="8" fillId="32" borderId="0" xfId="0" applyNumberFormat="1" applyFont="1" applyFill="1" applyBorder="1" applyAlignment="1" applyProtection="1">
      <alignment horizontal="right"/>
      <protection locked="0"/>
    </xf>
    <xf numFmtId="171" fontId="8" fillId="32" borderId="13" xfId="0" applyNumberFormat="1" applyFont="1" applyFill="1" applyBorder="1" applyAlignment="1" applyProtection="1">
      <alignment horizontal="right"/>
      <protection locked="0"/>
    </xf>
    <xf numFmtId="171" fontId="8" fillId="32" borderId="37" xfId="0" applyNumberFormat="1" applyFont="1" applyFill="1" applyBorder="1" applyProtection="1">
      <protection locked="0"/>
    </xf>
    <xf numFmtId="171" fontId="8" fillId="32" borderId="26" xfId="0" applyNumberFormat="1" applyFont="1" applyFill="1" applyBorder="1" applyProtection="1">
      <protection locked="0"/>
    </xf>
    <xf numFmtId="171" fontId="8" fillId="32" borderId="0" xfId="0" applyNumberFormat="1" applyFont="1" applyFill="1" applyBorder="1" applyProtection="1">
      <protection locked="0"/>
    </xf>
    <xf numFmtId="171" fontId="8" fillId="32" borderId="13" xfId="0" applyNumberFormat="1" applyFont="1" applyFill="1" applyBorder="1" applyProtection="1">
      <protection locked="0"/>
    </xf>
    <xf numFmtId="171" fontId="8" fillId="32" borderId="10" xfId="0" applyNumberFormat="1" applyFont="1" applyFill="1" applyBorder="1" applyProtection="1">
      <protection locked="0"/>
    </xf>
    <xf numFmtId="171" fontId="8" fillId="32" borderId="54" xfId="0" applyNumberFormat="1" applyFont="1" applyFill="1" applyBorder="1" applyProtection="1">
      <protection locked="0"/>
    </xf>
    <xf numFmtId="171" fontId="8" fillId="32" borderId="67" xfId="0" applyNumberFormat="1" applyFont="1" applyFill="1" applyBorder="1" applyProtection="1">
      <protection locked="0"/>
    </xf>
    <xf numFmtId="171" fontId="8" fillId="32" borderId="36" xfId="0" applyNumberFormat="1" applyFont="1" applyFill="1" applyBorder="1" applyProtection="1">
      <protection locked="0"/>
    </xf>
    <xf numFmtId="171" fontId="8" fillId="32" borderId="51" xfId="0" applyNumberFormat="1" applyFont="1" applyFill="1" applyBorder="1" applyProtection="1">
      <protection locked="0"/>
    </xf>
    <xf numFmtId="171" fontId="8" fillId="32" borderId="45" xfId="0" applyNumberFormat="1" applyFont="1" applyFill="1" applyBorder="1" applyProtection="1">
      <protection locked="0"/>
    </xf>
    <xf numFmtId="171" fontId="8" fillId="32" borderId="46" xfId="28" applyNumberFormat="1" applyFont="1" applyFill="1" applyBorder="1" applyProtection="1">
      <protection locked="0"/>
    </xf>
    <xf numFmtId="171" fontId="8" fillId="32" borderId="45" xfId="28" applyNumberFormat="1" applyFont="1" applyFill="1" applyBorder="1" applyProtection="1">
      <protection locked="0"/>
    </xf>
    <xf numFmtId="171" fontId="8" fillId="32" borderId="22" xfId="28" applyNumberFormat="1" applyFont="1" applyFill="1" applyBorder="1" applyProtection="1">
      <protection locked="0"/>
    </xf>
    <xf numFmtId="171" fontId="8" fillId="32" borderId="62" xfId="0" applyNumberFormat="1" applyFont="1" applyFill="1" applyBorder="1" applyProtection="1">
      <protection locked="0"/>
    </xf>
    <xf numFmtId="0" fontId="8" fillId="32" borderId="10" xfId="0" applyFont="1" applyFill="1" applyBorder="1" applyProtection="1">
      <protection locked="0"/>
    </xf>
    <xf numFmtId="0" fontId="8" fillId="32" borderId="19" xfId="0" applyFont="1" applyFill="1" applyBorder="1" applyProtection="1">
      <protection locked="0"/>
    </xf>
    <xf numFmtId="171" fontId="8" fillId="32" borderId="19" xfId="0" applyNumberFormat="1" applyFont="1" applyFill="1" applyBorder="1" applyProtection="1">
      <protection locked="0"/>
    </xf>
    <xf numFmtId="167" fontId="8" fillId="32" borderId="22" xfId="43" applyNumberFormat="1" applyFont="1" applyFill="1" applyBorder="1" applyAlignment="1" applyProtection="1">
      <alignment horizontal="center" vertical="top" wrapText="1"/>
      <protection locked="0"/>
    </xf>
    <xf numFmtId="168" fontId="8" fillId="32" borderId="0" xfId="28" applyNumberFormat="1" applyFont="1" applyFill="1" applyBorder="1" applyProtection="1">
      <protection locked="0"/>
    </xf>
    <xf numFmtId="168" fontId="8" fillId="32" borderId="13" xfId="28" applyNumberFormat="1" applyFont="1" applyFill="1" applyBorder="1" applyProtection="1">
      <protection locked="0"/>
    </xf>
    <xf numFmtId="168" fontId="8" fillId="32" borderId="14" xfId="28" applyNumberFormat="1" applyFont="1" applyFill="1" applyBorder="1" applyProtection="1">
      <protection locked="0"/>
    </xf>
    <xf numFmtId="168" fontId="8" fillId="32" borderId="14" xfId="0" applyNumberFormat="1" applyFont="1" applyFill="1" applyBorder="1" applyProtection="1">
      <protection locked="0"/>
    </xf>
    <xf numFmtId="168" fontId="8" fillId="32" borderId="17" xfId="0" applyNumberFormat="1" applyFont="1" applyFill="1" applyBorder="1" applyProtection="1">
      <protection locked="0"/>
    </xf>
    <xf numFmtId="0" fontId="8" fillId="32" borderId="11" xfId="0" applyFont="1" applyFill="1" applyBorder="1" applyProtection="1">
      <protection locked="0"/>
    </xf>
    <xf numFmtId="0" fontId="8" fillId="32" borderId="11" xfId="0" applyNumberFormat="1" applyFont="1" applyFill="1" applyBorder="1" applyAlignment="1" applyProtection="1">
      <alignment horizontal="left" indent="1"/>
      <protection locked="0"/>
    </xf>
    <xf numFmtId="0" fontId="8" fillId="32" borderId="11" xfId="0" applyFont="1" applyFill="1" applyBorder="1" applyAlignment="1" applyProtection="1">
      <alignment horizontal="left" indent="2"/>
      <protection locked="0"/>
    </xf>
    <xf numFmtId="171" fontId="8" fillId="32" borderId="68" xfId="0" applyNumberFormat="1" applyFont="1" applyFill="1" applyBorder="1" applyProtection="1">
      <protection locked="0"/>
    </xf>
    <xf numFmtId="171" fontId="8" fillId="32" borderId="52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2"/>
      <protection locked="0"/>
    </xf>
    <xf numFmtId="0" fontId="8" fillId="32" borderId="0" xfId="0" applyFont="1" applyFill="1" applyProtection="1">
      <protection locked="0"/>
    </xf>
    <xf numFmtId="171" fontId="9" fillId="32" borderId="68" xfId="0" applyNumberFormat="1" applyFont="1" applyFill="1" applyBorder="1" applyProtection="1">
      <protection locked="0"/>
    </xf>
    <xf numFmtId="171" fontId="9" fillId="32" borderId="52" xfId="0" applyNumberFormat="1" applyFont="1" applyFill="1" applyBorder="1" applyProtection="1">
      <protection locked="0"/>
    </xf>
    <xf numFmtId="0" fontId="12" fillId="32" borderId="0" xfId="0" applyFont="1" applyFill="1" applyBorder="1" applyAlignment="1" applyProtection="1">
      <alignment horizontal="left" indent="2"/>
      <protection locked="0"/>
    </xf>
    <xf numFmtId="171" fontId="9" fillId="32" borderId="10" xfId="0" applyNumberFormat="1" applyFont="1" applyFill="1" applyBorder="1" applyProtection="1">
      <protection locked="0"/>
    </xf>
    <xf numFmtId="171" fontId="9" fillId="32" borderId="26" xfId="0" applyNumberFormat="1" applyFont="1" applyFill="1" applyBorder="1" applyProtection="1">
      <protection locked="0"/>
    </xf>
    <xf numFmtId="171" fontId="9" fillId="32" borderId="22" xfId="0" applyNumberFormat="1" applyFont="1" applyFill="1" applyBorder="1" applyProtection="1">
      <protection locked="0"/>
    </xf>
    <xf numFmtId="171" fontId="9" fillId="32" borderId="46" xfId="0" applyNumberFormat="1" applyFont="1" applyFill="1" applyBorder="1" applyProtection="1">
      <protection locked="0"/>
    </xf>
    <xf numFmtId="0" fontId="9" fillId="32" borderId="62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32" borderId="82" xfId="0" applyFont="1" applyFill="1" applyBorder="1" applyAlignment="1" applyProtection="1">
      <alignment horizontal="center" vertical="center"/>
      <protection locked="0"/>
    </xf>
    <xf numFmtId="0" fontId="12" fillId="32" borderId="11" xfId="0" applyFont="1" applyFill="1" applyBorder="1" applyProtection="1">
      <protection locked="0"/>
    </xf>
    <xf numFmtId="171" fontId="9" fillId="32" borderId="54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1"/>
      <protection locked="0"/>
    </xf>
    <xf numFmtId="171" fontId="8" fillId="32" borderId="33" xfId="0" applyNumberFormat="1" applyFont="1" applyFill="1" applyBorder="1" applyProtection="1">
      <protection locked="0"/>
    </xf>
    <xf numFmtId="171" fontId="8" fillId="32" borderId="24" xfId="0" applyNumberFormat="1" applyFont="1" applyFill="1" applyBorder="1" applyProtection="1">
      <protection locked="0"/>
    </xf>
    <xf numFmtId="171" fontId="8" fillId="32" borderId="50" xfId="0" applyNumberFormat="1" applyFont="1" applyFill="1" applyBorder="1" applyProtection="1">
      <protection locked="0"/>
    </xf>
    <xf numFmtId="12" fontId="8" fillId="32" borderId="83" xfId="0" applyNumberFormat="1" applyFont="1" applyFill="1" applyBorder="1" applyProtection="1">
      <protection locked="0"/>
    </xf>
    <xf numFmtId="12" fontId="8" fillId="32" borderId="84" xfId="0" applyNumberFormat="1" applyFont="1" applyFill="1" applyBorder="1" applyProtection="1">
      <protection locked="0"/>
    </xf>
    <xf numFmtId="12" fontId="8" fillId="32" borderId="85" xfId="0" applyNumberFormat="1" applyFont="1" applyFill="1" applyBorder="1" applyProtection="1">
      <protection locked="0"/>
    </xf>
    <xf numFmtId="171" fontId="8" fillId="0" borderId="73" xfId="0" applyNumberFormat="1" applyFont="1" applyBorder="1"/>
    <xf numFmtId="0" fontId="47" fillId="33" borderId="0" xfId="0" applyFont="1" applyFill="1" applyProtection="1"/>
    <xf numFmtId="0" fontId="39" fillId="33" borderId="0" xfId="0" applyFont="1" applyFill="1" applyProtection="1">
      <protection locked="0"/>
    </xf>
    <xf numFmtId="0" fontId="47" fillId="33" borderId="0" xfId="0" applyFont="1" applyFill="1" applyAlignment="1" applyProtection="1">
      <alignment horizontal="right"/>
    </xf>
    <xf numFmtId="0" fontId="47" fillId="33" borderId="11" xfId="0" applyFont="1" applyFill="1" applyBorder="1" applyAlignment="1" applyProtection="1">
      <alignment horizontal="left" indent="1"/>
      <protection locked="0"/>
    </xf>
    <xf numFmtId="0" fontId="39" fillId="32" borderId="0" xfId="0" applyFont="1" applyFill="1" applyAlignment="1" applyProtection="1">
      <alignment horizontal="left" indent="1"/>
      <protection locked="0"/>
    </xf>
    <xf numFmtId="49" fontId="47" fillId="33" borderId="0" xfId="0" applyNumberFormat="1" applyFont="1" applyFill="1" applyAlignment="1" applyProtection="1">
      <alignment horizontal="right"/>
    </xf>
    <xf numFmtId="0" fontId="42" fillId="32" borderId="73" xfId="0" applyFont="1" applyFill="1" applyBorder="1" applyProtection="1">
      <protection locked="0"/>
    </xf>
    <xf numFmtId="49" fontId="48" fillId="33" borderId="0" xfId="0" applyNumberFormat="1" applyFont="1" applyFill="1" applyAlignment="1" applyProtection="1">
      <alignment horizontal="right"/>
    </xf>
    <xf numFmtId="0" fontId="48" fillId="33" borderId="0" xfId="0" applyFont="1" applyFill="1" applyAlignment="1" applyProtection="1">
      <alignment horizontal="right"/>
    </xf>
    <xf numFmtId="0" fontId="47" fillId="33" borderId="0" xfId="0" applyFont="1" applyFill="1" applyProtection="1">
      <protection locked="0"/>
    </xf>
    <xf numFmtId="0" fontId="49" fillId="33" borderId="0" xfId="0" applyFont="1" applyFill="1" applyProtection="1"/>
    <xf numFmtId="0" fontId="43" fillId="33" borderId="0" xfId="0" applyFont="1" applyFill="1" applyProtection="1"/>
    <xf numFmtId="0" fontId="50" fillId="33" borderId="0" xfId="0" applyFont="1" applyFill="1" applyAlignment="1" applyProtection="1">
      <alignment horizontal="right"/>
    </xf>
    <xf numFmtId="0" fontId="8" fillId="0" borderId="26" xfId="0" applyFont="1" applyFill="1" applyBorder="1" applyAlignment="1" applyProtection="1">
      <alignment horizontal="left" indent="1"/>
    </xf>
    <xf numFmtId="0" fontId="9" fillId="0" borderId="26" xfId="0" applyFont="1" applyFill="1" applyBorder="1" applyAlignment="1" applyProtection="1">
      <alignment horizontal="left" indent="1"/>
    </xf>
    <xf numFmtId="0" fontId="18" fillId="0" borderId="17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44" fillId="0" borderId="0" xfId="0" applyFont="1" applyBorder="1" applyProtection="1">
      <protection hidden="1"/>
    </xf>
    <xf numFmtId="0" fontId="45" fillId="0" borderId="13" xfId="0" applyFont="1" applyBorder="1" applyProtection="1">
      <protection hidden="1"/>
    </xf>
    <xf numFmtId="0" fontId="7" fillId="0" borderId="86" xfId="0" applyFont="1" applyBorder="1" applyAlignment="1" applyProtection="1">
      <alignment horizontal="left" vertical="top" wrapText="1"/>
    </xf>
    <xf numFmtId="0" fontId="7" fillId="32" borderId="8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Protection="1"/>
    <xf numFmtId="0" fontId="18" fillId="0" borderId="0" xfId="0" applyFont="1" applyAlignment="1">
      <alignment wrapText="1"/>
    </xf>
    <xf numFmtId="0" fontId="18" fillId="0" borderId="0" xfId="0" applyNumberFormat="1" applyFont="1" applyProtection="1"/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>
      <alignment vertical="center"/>
    </xf>
    <xf numFmtId="0" fontId="12" fillId="0" borderId="0" xfId="37" applyFont="1" applyAlignment="1" applyProtection="1"/>
    <xf numFmtId="0" fontId="18" fillId="0" borderId="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18" fillId="0" borderId="0" xfId="37" applyFont="1" applyBorder="1" applyAlignment="1" applyProtection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justify" vertical="top" wrapText="1"/>
    </xf>
    <xf numFmtId="0" fontId="7" fillId="0" borderId="17" xfId="0" applyFont="1" applyBorder="1" applyAlignment="1" applyProtection="1">
      <alignment horizontal="justify" vertical="top" wrapText="1"/>
    </xf>
    <xf numFmtId="0" fontId="7" fillId="32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justify" vertical="top" wrapText="1"/>
    </xf>
    <xf numFmtId="0" fontId="18" fillId="0" borderId="16" xfId="0" applyFont="1" applyBorder="1" applyAlignment="1" applyProtection="1">
      <alignment horizontal="justify" vertical="top" wrapText="1"/>
    </xf>
    <xf numFmtId="0" fontId="18" fillId="0" borderId="17" xfId="0" applyFont="1" applyBorder="1" applyAlignment="1" applyProtection="1">
      <alignment horizontal="justify"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86" xfId="0" applyFont="1" applyBorder="1" applyAlignment="1" applyProtection="1">
      <alignment horizontal="justify" wrapText="1"/>
    </xf>
    <xf numFmtId="0" fontId="18" fillId="0" borderId="87" xfId="0" applyFont="1" applyBorder="1" applyAlignment="1" applyProtection="1">
      <alignment horizontal="justify" wrapText="1"/>
    </xf>
    <xf numFmtId="0" fontId="18" fillId="0" borderId="69" xfId="0" applyFont="1" applyBorder="1" applyAlignment="1" applyProtection="1">
      <alignment horizontal="justify" wrapText="1"/>
    </xf>
    <xf numFmtId="0" fontId="18" fillId="32" borderId="18" xfId="0" applyFont="1" applyFill="1" applyBorder="1" applyAlignment="1" applyProtection="1">
      <alignment horizontal="justify" wrapText="1"/>
      <protection locked="0"/>
    </xf>
    <xf numFmtId="0" fontId="18" fillId="0" borderId="15" xfId="0" applyFont="1" applyBorder="1" applyAlignment="1" applyProtection="1">
      <alignment horizontal="justify" wrapText="1"/>
    </xf>
    <xf numFmtId="0" fontId="18" fillId="0" borderId="16" xfId="0" applyFont="1" applyFill="1" applyBorder="1" applyAlignment="1" applyProtection="1">
      <alignment horizontal="justify" wrapText="1"/>
    </xf>
    <xf numFmtId="174" fontId="18" fillId="0" borderId="17" xfId="0" applyNumberFormat="1" applyFont="1" applyFill="1" applyBorder="1" applyAlignment="1" applyProtection="1">
      <alignment horizontal="justify" wrapText="1"/>
      <protection locked="0"/>
    </xf>
    <xf numFmtId="0" fontId="7" fillId="0" borderId="69" xfId="0" applyFont="1" applyBorder="1" applyAlignment="1" applyProtection="1">
      <alignment horizontal="justify" wrapText="1"/>
    </xf>
    <xf numFmtId="0" fontId="18" fillId="0" borderId="18" xfId="0" applyFont="1" applyBorder="1" applyAlignment="1" applyProtection="1">
      <alignment horizontal="justify" wrapText="1"/>
    </xf>
    <xf numFmtId="0" fontId="18" fillId="0" borderId="0" xfId="0" applyFont="1" applyFill="1" applyProtection="1">
      <protection hidden="1"/>
    </xf>
    <xf numFmtId="0" fontId="18" fillId="0" borderId="18" xfId="0" applyFont="1" applyFill="1" applyBorder="1" applyAlignment="1" applyProtection="1">
      <alignment horizontal="justify" wrapText="1"/>
    </xf>
    <xf numFmtId="0" fontId="18" fillId="32" borderId="65" xfId="0" applyFont="1" applyFill="1" applyBorder="1" applyAlignment="1" applyProtection="1">
      <alignment horizontal="justify" wrapText="1"/>
      <protection locked="0"/>
    </xf>
    <xf numFmtId="0" fontId="18" fillId="0" borderId="17" xfId="0" applyFont="1" applyFill="1" applyBorder="1" applyAlignment="1" applyProtection="1">
      <alignment horizontal="justify" wrapText="1"/>
      <protection locked="0"/>
    </xf>
    <xf numFmtId="0" fontId="18" fillId="32" borderId="18" xfId="0" applyNumberFormat="1" applyFont="1" applyFill="1" applyBorder="1" applyAlignment="1" applyProtection="1">
      <alignment horizontal="justify" wrapText="1"/>
      <protection locked="0"/>
    </xf>
    <xf numFmtId="0" fontId="18" fillId="0" borderId="11" xfId="0" applyFont="1" applyBorder="1" applyAlignment="1" applyProtection="1">
      <alignment horizontal="justify" wrapText="1"/>
    </xf>
    <xf numFmtId="0" fontId="7" fillId="0" borderId="0" xfId="0" applyFont="1" applyBorder="1" applyProtection="1"/>
    <xf numFmtId="0" fontId="7" fillId="0" borderId="0" xfId="0" quotePrefix="1" applyNumberFormat="1" applyFont="1" applyBorder="1" applyProtection="1"/>
    <xf numFmtId="0" fontId="18" fillId="0" borderId="0" xfId="0" applyFont="1" applyBorder="1" applyProtection="1"/>
    <xf numFmtId="0" fontId="7" fillId="0" borderId="69" xfId="0" applyFont="1" applyBorder="1" applyAlignment="1" applyProtection="1">
      <alignment horizontal="left"/>
    </xf>
    <xf numFmtId="0" fontId="18" fillId="0" borderId="0" xfId="0" applyFont="1" applyBorder="1"/>
    <xf numFmtId="0" fontId="18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 applyProtection="1">
      <alignment horizontal="justify" wrapText="1"/>
      <protection locked="0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8" fillId="0" borderId="0" xfId="37" applyFont="1" applyAlignment="1" applyProtection="1">
      <protection hidden="1"/>
    </xf>
    <xf numFmtId="0" fontId="46" fillId="0" borderId="0" xfId="37" applyFont="1" applyAlignme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locked="0"/>
    </xf>
    <xf numFmtId="0" fontId="46" fillId="0" borderId="0" xfId="37" applyFont="1" applyAlignment="1" applyProtection="1">
      <protection locked="0" hidden="1"/>
    </xf>
    <xf numFmtId="0" fontId="18" fillId="0" borderId="0" xfId="0" applyFont="1" applyFill="1" applyProtection="1"/>
    <xf numFmtId="0" fontId="8" fillId="0" borderId="11" xfId="0" applyFont="1" applyBorder="1" applyProtection="1"/>
    <xf numFmtId="0" fontId="9" fillId="0" borderId="27" xfId="0" applyFont="1" applyBorder="1" applyProtection="1"/>
    <xf numFmtId="171" fontId="9" fillId="0" borderId="22" xfId="0" applyNumberFormat="1" applyFont="1" applyBorder="1" applyProtection="1"/>
    <xf numFmtId="171" fontId="9" fillId="0" borderId="45" xfId="0" applyNumberFormat="1" applyFont="1" applyBorder="1" applyProtection="1"/>
    <xf numFmtId="171" fontId="9" fillId="0" borderId="46" xfId="0" applyNumberFormat="1" applyFont="1" applyBorder="1" applyProtection="1"/>
    <xf numFmtId="0" fontId="12" fillId="0" borderId="0" xfId="0" applyNumberFormat="1" applyFont="1" applyFill="1" applyBorder="1" applyProtection="1"/>
    <xf numFmtId="9" fontId="9" fillId="0" borderId="29" xfId="0" applyNumberFormat="1" applyFont="1" applyBorder="1"/>
    <xf numFmtId="0" fontId="38" fillId="0" borderId="0" xfId="0" applyFont="1"/>
    <xf numFmtId="0" fontId="38" fillId="0" borderId="0" xfId="0" applyNumberFormat="1" applyFont="1" applyProtection="1"/>
    <xf numFmtId="0" fontId="38" fillId="0" borderId="0" xfId="0" applyFont="1" applyAlignment="1" applyProtection="1">
      <alignment vertical="center"/>
    </xf>
    <xf numFmtId="0" fontId="38" fillId="0" borderId="0" xfId="0" applyFont="1" applyProtection="1"/>
    <xf numFmtId="0" fontId="0" fillId="0" borderId="0" xfId="0" applyFont="1" applyProtection="1"/>
    <xf numFmtId="0" fontId="3" fillId="0" borderId="0" xfId="0" applyFont="1" applyAlignment="1">
      <alignment horizontal="left"/>
    </xf>
    <xf numFmtId="0" fontId="18" fillId="32" borderId="65" xfId="0" applyFont="1" applyFill="1" applyBorder="1" applyAlignment="1" applyProtection="1">
      <alignment horizontal="left" vertical="center"/>
      <protection locked="0"/>
    </xf>
    <xf numFmtId="0" fontId="5" fillId="32" borderId="13" xfId="36" applyFill="1" applyBorder="1" applyAlignment="1" applyProtection="1">
      <alignment horizontal="justify" vertical="top" wrapText="1"/>
      <protection locked="0"/>
    </xf>
    <xf numFmtId="0" fontId="51" fillId="28" borderId="18" xfId="0" applyFont="1" applyFill="1" applyBorder="1" applyAlignment="1" applyProtection="1">
      <alignment horizontal="justify" wrapText="1"/>
      <protection locked="0"/>
    </xf>
    <xf numFmtId="174" fontId="51" fillId="28" borderId="65" xfId="0" applyNumberFormat="1" applyFont="1" applyFill="1" applyBorder="1" applyAlignment="1" applyProtection="1">
      <alignment horizontal="justify" wrapText="1"/>
      <protection locked="0"/>
    </xf>
    <xf numFmtId="0" fontId="51" fillId="28" borderId="65" xfId="0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0" fontId="5" fillId="28" borderId="18" xfId="36" applyFill="1" applyBorder="1" applyAlignment="1" applyProtection="1">
      <alignment horizontal="justify" wrapText="1"/>
      <protection locked="0"/>
    </xf>
    <xf numFmtId="167" fontId="8" fillId="28" borderId="10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45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22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19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58" xfId="44" applyNumberFormat="1" applyFont="1" applyFill="1" applyBorder="1" applyAlignment="1" applyProtection="1">
      <alignment horizontal="center" vertical="top" wrapText="1"/>
      <protection locked="0"/>
    </xf>
    <xf numFmtId="167" fontId="8" fillId="28" borderId="24" xfId="44" applyNumberFormat="1" applyFont="1" applyFill="1" applyBorder="1" applyAlignment="1" applyProtection="1">
      <alignment horizontal="center" vertical="top" wrapText="1"/>
      <protection locked="0"/>
    </xf>
    <xf numFmtId="168" fontId="8" fillId="28" borderId="0" xfId="0" applyNumberFormat="1" applyFont="1" applyFill="1" applyBorder="1" applyProtection="1">
      <protection locked="0"/>
    </xf>
    <xf numFmtId="168" fontId="8" fillId="28" borderId="13" xfId="0" applyNumberFormat="1" applyFont="1" applyFill="1" applyBorder="1" applyProtection="1">
      <protection locked="0"/>
    </xf>
    <xf numFmtId="171" fontId="8" fillId="28" borderId="52" xfId="0" applyNumberFormat="1" applyFont="1" applyFill="1" applyBorder="1" applyAlignment="1" applyProtection="1">
      <protection locked="0"/>
    </xf>
    <xf numFmtId="171" fontId="8" fillId="28" borderId="26" xfId="0" applyNumberFormat="1" applyFont="1" applyFill="1" applyBorder="1" applyAlignment="1" applyProtection="1">
      <protection locked="0"/>
    </xf>
    <xf numFmtId="171" fontId="8" fillId="28" borderId="67" xfId="0" applyNumberFormat="1" applyFont="1" applyFill="1" applyBorder="1" applyAlignment="1" applyProtection="1">
      <protection locked="0"/>
    </xf>
    <xf numFmtId="0" fontId="8" fillId="28" borderId="11" xfId="0" applyNumberFormat="1" applyFont="1" applyFill="1" applyBorder="1" applyAlignment="1" applyProtection="1">
      <alignment horizontal="left" indent="2"/>
      <protection locked="0"/>
    </xf>
    <xf numFmtId="0" fontId="51" fillId="28" borderId="18" xfId="48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3" fontId="51" fillId="28" borderId="18" xfId="48" quotePrefix="1" applyNumberFormat="1" applyFont="1" applyFill="1" applyBorder="1" applyAlignment="1" applyProtection="1">
      <alignment horizontal="justify" wrapText="1"/>
      <protection locked="0"/>
    </xf>
    <xf numFmtId="0" fontId="51" fillId="28" borderId="18" xfId="48" applyFont="1" applyFill="1" applyBorder="1" applyAlignment="1" applyProtection="1">
      <alignment horizontal="justify" wrapText="1"/>
      <protection locked="0"/>
    </xf>
    <xf numFmtId="0" fontId="5" fillId="28" borderId="65" xfId="36" applyFill="1" applyBorder="1" applyAlignment="1" applyProtection="1">
      <alignment horizontal="justify" wrapText="1"/>
      <protection locked="0"/>
    </xf>
    <xf numFmtId="0" fontId="18" fillId="32" borderId="18" xfId="48" applyFont="1" applyFill="1" applyBorder="1" applyAlignment="1" applyProtection="1">
      <alignment horizontal="justify" wrapText="1"/>
      <protection locked="0"/>
    </xf>
    <xf numFmtId="0" fontId="5" fillId="32" borderId="65" xfId="36" applyFill="1" applyBorder="1" applyAlignment="1" applyProtection="1">
      <alignment horizontal="justify" wrapText="1"/>
      <protection locked="0"/>
    </xf>
    <xf numFmtId="3" fontId="18" fillId="32" borderId="18" xfId="48" applyNumberFormat="1" applyFont="1" applyFill="1" applyBorder="1" applyAlignment="1" applyProtection="1">
      <alignment horizontal="justify" wrapText="1"/>
      <protection locked="0"/>
    </xf>
    <xf numFmtId="3" fontId="5" fillId="32" borderId="18" xfId="36" applyNumberFormat="1" applyFill="1" applyBorder="1" applyAlignment="1" applyProtection="1">
      <alignment horizontal="justify" wrapText="1"/>
      <protection locked="0"/>
    </xf>
    <xf numFmtId="0" fontId="18" fillId="32" borderId="18" xfId="48" applyNumberFormat="1" applyFont="1" applyFill="1" applyBorder="1" applyAlignment="1" applyProtection="1">
      <alignment horizontal="justify" wrapText="1"/>
      <protection locked="0"/>
    </xf>
    <xf numFmtId="3" fontId="18" fillId="32" borderId="18" xfId="48" applyNumberFormat="1" applyFont="1" applyFill="1" applyBorder="1" applyAlignment="1" applyProtection="1">
      <alignment horizontal="justify" wrapText="1"/>
      <protection locked="0"/>
    </xf>
    <xf numFmtId="0" fontId="5" fillId="32" borderId="18" xfId="36" applyNumberFormat="1" applyFill="1" applyBorder="1" applyAlignment="1" applyProtection="1">
      <alignment horizontal="justify" wrapText="1"/>
      <protection locked="0"/>
    </xf>
    <xf numFmtId="0" fontId="5" fillId="32" borderId="13" xfId="36" applyFill="1" applyBorder="1" applyAlignment="1" applyProtection="1">
      <alignment horizontal="justify" wrapText="1"/>
      <protection locked="0"/>
    </xf>
    <xf numFmtId="0" fontId="4" fillId="30" borderId="69" xfId="0" applyFont="1" applyFill="1" applyBorder="1" applyAlignment="1">
      <alignment horizontal="center"/>
    </xf>
    <xf numFmtId="0" fontId="4" fillId="30" borderId="72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/>
    </xf>
    <xf numFmtId="0" fontId="4" fillId="24" borderId="69" xfId="0" applyFont="1" applyFill="1" applyBorder="1" applyAlignment="1">
      <alignment horizontal="center"/>
    </xf>
    <xf numFmtId="0" fontId="4" fillId="24" borderId="72" xfId="0" applyFont="1" applyFill="1" applyBorder="1" applyAlignment="1">
      <alignment horizontal="center"/>
    </xf>
    <xf numFmtId="0" fontId="4" fillId="31" borderId="69" xfId="0" applyFont="1" applyFill="1" applyBorder="1" applyAlignment="1">
      <alignment horizontal="center"/>
    </xf>
    <xf numFmtId="0" fontId="4" fillId="31" borderId="72" xfId="0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/>
    </xf>
    <xf numFmtId="0" fontId="44" fillId="0" borderId="93" xfId="0" applyFont="1" applyBorder="1" applyAlignment="1" applyProtection="1">
      <alignment horizontal="justify" vertical="center" wrapText="1"/>
    </xf>
    <xf numFmtId="0" fontId="45" fillId="0" borderId="94" xfId="0" applyFont="1" applyBorder="1" applyAlignment="1">
      <alignment horizontal="justify" vertical="center" wrapText="1"/>
    </xf>
    <xf numFmtId="0" fontId="7" fillId="0" borderId="93" xfId="0" applyFont="1" applyBorder="1" applyAlignment="1" applyProtection="1">
      <alignment horizontal="justify" vertical="center" wrapText="1"/>
    </xf>
    <xf numFmtId="0" fontId="18" fillId="0" borderId="94" xfId="0" applyFont="1" applyBorder="1" applyAlignment="1">
      <alignment horizontal="justify" vertical="center" wrapText="1"/>
    </xf>
    <xf numFmtId="0" fontId="7" fillId="0" borderId="69" xfId="0" applyFont="1" applyBorder="1" applyAlignment="1" applyProtection="1">
      <alignment horizontal="justify" wrapText="1"/>
    </xf>
    <xf numFmtId="0" fontId="18" fillId="0" borderId="18" xfId="0" applyFont="1" applyBorder="1" applyAlignment="1">
      <alignment horizontal="justify" wrapText="1"/>
    </xf>
    <xf numFmtId="0" fontId="7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>
      <alignment horizontal="justify" wrapText="1"/>
    </xf>
    <xf numFmtId="0" fontId="7" fillId="0" borderId="15" xfId="0" applyFont="1" applyFill="1" applyBorder="1" applyAlignment="1" applyProtection="1">
      <alignment horizontal="justify" wrapText="1"/>
    </xf>
    <xf numFmtId="0" fontId="18" fillId="0" borderId="65" xfId="0" applyFont="1" applyFill="1" applyBorder="1" applyAlignment="1">
      <alignment horizontal="justify" wrapText="1"/>
    </xf>
    <xf numFmtId="0" fontId="7" fillId="0" borderId="91" xfId="0" applyFont="1" applyBorder="1" applyAlignment="1" applyProtection="1">
      <alignment horizontal="justify" wrapText="1"/>
    </xf>
    <xf numFmtId="0" fontId="18" fillId="0" borderId="92" xfId="0" applyFont="1" applyBorder="1" applyAlignment="1">
      <alignment horizontal="justify" wrapText="1"/>
    </xf>
    <xf numFmtId="0" fontId="7" fillId="0" borderId="0" xfId="0" applyFont="1" applyBorder="1" applyAlignment="1" applyProtection="1">
      <alignment horizontal="justify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vertical="top" wrapText="1"/>
    </xf>
    <xf numFmtId="0" fontId="44" fillId="0" borderId="88" xfId="0" applyFont="1" applyBorder="1" applyAlignment="1" applyProtection="1">
      <alignment horizontal="justify" vertical="center" wrapText="1"/>
    </xf>
    <xf numFmtId="0" fontId="45" fillId="0" borderId="88" xfId="0" applyFont="1" applyBorder="1" applyAlignment="1">
      <alignment horizontal="justify" vertical="center" wrapText="1"/>
    </xf>
    <xf numFmtId="0" fontId="44" fillId="0" borderId="89" xfId="0" applyFont="1" applyBorder="1" applyAlignment="1" applyProtection="1">
      <alignment horizontal="justify" vertical="center"/>
    </xf>
    <xf numFmtId="0" fontId="18" fillId="0" borderId="90" xfId="0" applyFont="1" applyBorder="1" applyAlignment="1">
      <alignment horizontal="justify" vertical="center"/>
    </xf>
    <xf numFmtId="0" fontId="7" fillId="0" borderId="89" xfId="0" applyFont="1" applyBorder="1" applyAlignment="1" applyProtection="1">
      <alignment horizontal="justify" vertical="center" wrapText="1"/>
    </xf>
    <xf numFmtId="0" fontId="18" fillId="0" borderId="90" xfId="0" applyFont="1" applyBorder="1" applyAlignment="1">
      <alignment horizontal="justify" vertical="center" wrapText="1"/>
    </xf>
    <xf numFmtId="0" fontId="12" fillId="0" borderId="0" xfId="0" applyFont="1" applyFill="1" applyAlignment="1">
      <alignment horizontal="left" wrapText="1"/>
    </xf>
    <xf numFmtId="0" fontId="9" fillId="0" borderId="39" xfId="0" applyFont="1" applyFill="1" applyBorder="1" applyAlignment="1">
      <alignment horizontal="center" vertical="center"/>
    </xf>
    <xf numFmtId="0" fontId="40" fillId="0" borderId="10" xfId="0" applyFont="1" applyBorder="1"/>
    <xf numFmtId="0" fontId="9" fillId="0" borderId="6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 wrapText="1"/>
    </xf>
    <xf numFmtId="0" fontId="40" fillId="0" borderId="72" xfId="0" applyFont="1" applyBorder="1"/>
    <xf numFmtId="0" fontId="40" fillId="0" borderId="18" xfId="0" applyFont="1" applyBorder="1"/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7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40" fillId="0" borderId="19" xfId="0" applyFont="1" applyBorder="1"/>
    <xf numFmtId="0" fontId="9" fillId="0" borderId="3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_AppA_Muncde_2010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8"/>
    <cellStyle name="Note" xfId="41" builtinId="10" customBuiltin="1"/>
    <cellStyle name="Output" xfId="42" builtinId="21" customBuiltin="1"/>
    <cellStyle name="Percent" xfId="43" builtinId="5"/>
    <cellStyle name="Percent 10 2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2013/14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63284037.159999996</c:v>
                </c:pt>
                <c:pt idx="1">
                  <c:v>22992099.169999998</c:v>
                </c:pt>
                <c:pt idx="2">
                  <c:v>621393166.86000013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063808"/>
        <c:axId val="47065344"/>
        <c:axId val="0"/>
      </c:bar3DChart>
      <c:catAx>
        <c:axId val="470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6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63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2012/13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192687372.22529998</c:v>
                </c:pt>
                <c:pt idx="1">
                  <c:v>57351144.949000001</c:v>
                </c:pt>
                <c:pt idx="2">
                  <c:v>324884170.77539998</c:v>
                </c:pt>
                <c:pt idx="3">
                  <c:v>111516536.14459997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2013/14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Government</c:v>
                </c:pt>
                <c:pt idx="1">
                  <c:v>Business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198646775.48999998</c:v>
                </c:pt>
                <c:pt idx="1">
                  <c:v>59124891.700000003</c:v>
                </c:pt>
                <c:pt idx="2">
                  <c:v>334932134.81999999</c:v>
                </c:pt>
                <c:pt idx="3">
                  <c:v>114965501.17999998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998656"/>
        <c:axId val="47000192"/>
        <c:axId val="0"/>
      </c:bar3DChart>
      <c:catAx>
        <c:axId val="469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00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998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2013/14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10964912</c:v>
                </c:pt>
                <c:pt idx="1">
                  <c:v>0</c:v>
                </c:pt>
                <c:pt idx="2">
                  <c:v>1912135</c:v>
                </c:pt>
                <c:pt idx="3">
                  <c:v>0</c:v>
                </c:pt>
                <c:pt idx="4">
                  <c:v>2490402</c:v>
                </c:pt>
                <c:pt idx="5">
                  <c:v>0</c:v>
                </c:pt>
                <c:pt idx="6">
                  <c:v>4625803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035904"/>
        <c:axId val="47037440"/>
        <c:axId val="0"/>
      </c:bar3DChart>
      <c:catAx>
        <c:axId val="470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37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03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35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2012/13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30598000</c:v>
                </c:pt>
                <c:pt idx="1">
                  <c:v>33977000</c:v>
                </c:pt>
                <c:pt idx="2">
                  <c:v>25908000</c:v>
                </c:pt>
                <c:pt idx="3">
                  <c:v>26423000</c:v>
                </c:pt>
                <c:pt idx="4">
                  <c:v>27010000</c:v>
                </c:pt>
                <c:pt idx="5">
                  <c:v>23233000</c:v>
                </c:pt>
                <c:pt idx="6">
                  <c:v>24422000</c:v>
                </c:pt>
                <c:pt idx="7">
                  <c:v>24596000</c:v>
                </c:pt>
                <c:pt idx="8">
                  <c:v>25237000</c:v>
                </c:pt>
                <c:pt idx="9">
                  <c:v>31741000</c:v>
                </c:pt>
                <c:pt idx="10">
                  <c:v>29600000</c:v>
                </c:pt>
                <c:pt idx="11">
                  <c:v>91279000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14820860.01</c:v>
                </c:pt>
                <c:pt idx="1">
                  <c:v>20808748.510000002</c:v>
                </c:pt>
                <c:pt idx="2">
                  <c:v>6562230.4799999995</c:v>
                </c:pt>
                <c:pt idx="3">
                  <c:v>22802079.98</c:v>
                </c:pt>
                <c:pt idx="4">
                  <c:v>29640777.030000001</c:v>
                </c:pt>
                <c:pt idx="5">
                  <c:v>20036560.16</c:v>
                </c:pt>
                <c:pt idx="6">
                  <c:v>9754095.379999999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60704"/>
        <c:axId val="47170688"/>
        <c:axId val="0"/>
      </c:bar3DChart>
      <c:catAx>
        <c:axId val="471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1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7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160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14820860.01</c:v>
                </c:pt>
                <c:pt idx="1">
                  <c:v>35629608.520000003</c:v>
                </c:pt>
                <c:pt idx="2">
                  <c:v>42191839</c:v>
                </c:pt>
                <c:pt idx="3">
                  <c:v>64993918.980000004</c:v>
                </c:pt>
                <c:pt idx="4">
                  <c:v>94634696.010000005</c:v>
                </c:pt>
                <c:pt idx="5">
                  <c:v>114671256.17</c:v>
                </c:pt>
                <c:pt idx="6">
                  <c:v>124425351.55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30598000</c:v>
                </c:pt>
                <c:pt idx="1">
                  <c:v>64575000</c:v>
                </c:pt>
                <c:pt idx="2">
                  <c:v>90483000</c:v>
                </c:pt>
                <c:pt idx="3">
                  <c:v>116906000</c:v>
                </c:pt>
                <c:pt idx="4">
                  <c:v>143916000</c:v>
                </c:pt>
                <c:pt idx="5">
                  <c:v>167149000</c:v>
                </c:pt>
                <c:pt idx="6">
                  <c:v>191571000</c:v>
                </c:pt>
                <c:pt idx="7">
                  <c:v>216167000</c:v>
                </c:pt>
                <c:pt idx="8">
                  <c:v>241404000</c:v>
                </c:pt>
                <c:pt idx="9">
                  <c:v>273145000</c:v>
                </c:pt>
                <c:pt idx="10">
                  <c:v>302745000</c:v>
                </c:pt>
                <c:pt idx="11">
                  <c:v>394024000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00960"/>
        <c:axId val="52202496"/>
        <c:axId val="0"/>
      </c:bar3DChart>
      <c:catAx>
        <c:axId val="522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20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0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200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2" val="0"/>
</file>

<file path=xl/ctrlProps/ctrlProp3.xml><?xml version="1.0" encoding="utf-8"?>
<formControlPr xmlns="http://schemas.microsoft.com/office/spreadsheetml/2009/9/main" objectType="Drop" dropLines="6" dropStyle="combo" dx="16" fmlaLink="$X$34" fmlaRange="$X$19:$X$32" noThreeD="1" sel="6" val="4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2" val="54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7" val="5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434819" name="Group 28"/>
        <xdr:cNvGrpSpPr>
          <a:grpSpLocks/>
        </xdr:cNvGrpSpPr>
      </xdr:nvGrpSpPr>
      <xdr:grpSpPr bwMode="auto">
        <a:xfrm>
          <a:off x="0" y="0"/>
          <a:ext cx="9057086" cy="6207529"/>
          <a:chOff x="0" y="0"/>
          <a:chExt cx="903" cy="672"/>
        </a:xfrm>
      </xdr:grpSpPr>
      <xdr:grpSp>
        <xdr:nvGrpSpPr>
          <xdr:cNvPr id="434821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434823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434825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434826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434827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434832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434833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434835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434836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434828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434829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34830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34831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434824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807" y="199"/>
            <a:ext cx="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2.4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507518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507519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9525</xdr:rowOff>
        </xdr:from>
        <xdr:to>
          <xdr:col>1</xdr:col>
          <xdr:colOff>447675</xdr:colOff>
          <xdr:row>5</xdr:row>
          <xdr:rowOff>66675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104775</xdr:rowOff>
        </xdr:from>
        <xdr:to>
          <xdr:col>2</xdr:col>
          <xdr:colOff>19050</xdr:colOff>
          <xdr:row>6</xdr:row>
          <xdr:rowOff>0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</xdr:row>
          <xdr:rowOff>47625</xdr:rowOff>
        </xdr:from>
        <xdr:to>
          <xdr:col>1</xdr:col>
          <xdr:colOff>533400</xdr:colOff>
          <xdr:row>4</xdr:row>
          <xdr:rowOff>114300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507531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507665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133350</xdr:rowOff>
        </xdr:from>
        <xdr:to>
          <xdr:col>2</xdr:col>
          <xdr:colOff>533400</xdr:colOff>
          <xdr:row>2</xdr:row>
          <xdr:rowOff>38100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</xdr:row>
          <xdr:rowOff>66675</xdr:rowOff>
        </xdr:from>
        <xdr:to>
          <xdr:col>1</xdr:col>
          <xdr:colOff>609600</xdr:colOff>
          <xdr:row>2</xdr:row>
          <xdr:rowOff>123825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0</xdr:rowOff>
        </xdr:from>
        <xdr:to>
          <xdr:col>2</xdr:col>
          <xdr:colOff>533400</xdr:colOff>
          <xdr:row>3</xdr:row>
          <xdr:rowOff>57150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</xdr:row>
          <xdr:rowOff>76200</xdr:rowOff>
        </xdr:from>
        <xdr:to>
          <xdr:col>2</xdr:col>
          <xdr:colOff>533400</xdr:colOff>
          <xdr:row>2</xdr:row>
          <xdr:rowOff>133350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142875</xdr:rowOff>
        </xdr:from>
        <xdr:to>
          <xdr:col>1</xdr:col>
          <xdr:colOff>200025</xdr:colOff>
          <xdr:row>9</xdr:row>
          <xdr:rowOff>57150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85725</xdr:rowOff>
        </xdr:from>
        <xdr:to>
          <xdr:col>1</xdr:col>
          <xdr:colOff>200025</xdr:colOff>
          <xdr:row>9</xdr:row>
          <xdr:rowOff>161925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123825</xdr:rowOff>
        </xdr:from>
        <xdr:to>
          <xdr:col>1</xdr:col>
          <xdr:colOff>200025</xdr:colOff>
          <xdr:row>11</xdr:row>
          <xdr:rowOff>38100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28575</xdr:rowOff>
        </xdr:from>
        <xdr:to>
          <xdr:col>2</xdr:col>
          <xdr:colOff>533400</xdr:colOff>
          <xdr:row>1</xdr:row>
          <xdr:rowOff>85725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114300</xdr:rowOff>
        </xdr:from>
        <xdr:to>
          <xdr:col>1</xdr:col>
          <xdr:colOff>533400</xdr:colOff>
          <xdr:row>4</xdr:row>
          <xdr:rowOff>9525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507536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16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2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2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2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2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22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2013/14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2013/14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ateng/AppData/Local/Microsoft/Windows/Temporary%20Internet%20Files/Content.Outlook/PB3SH4OO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laks@map.fs.gov.za" TargetMode="External"/><Relationship Id="rId3" Type="http://schemas.openxmlformats.org/officeDocument/2006/relationships/hyperlink" Target="mailto:mmadmin@map.fs.gov.za" TargetMode="External"/><Relationship Id="rId7" Type="http://schemas.openxmlformats.org/officeDocument/2006/relationships/hyperlink" Target="mailto:mokoenamahadi@map.fs.gov.za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mapcfo@map.fs.gov.za" TargetMode="External"/><Relationship Id="rId1" Type="http://schemas.openxmlformats.org/officeDocument/2006/relationships/hyperlink" Target="http://www.map.gov.za/" TargetMode="External"/><Relationship Id="rId6" Type="http://schemas.openxmlformats.org/officeDocument/2006/relationships/hyperlink" Target="mailto:speaker@map.fs.gov.za" TargetMode="External"/><Relationship Id="rId11" Type="http://schemas.openxmlformats.org/officeDocument/2006/relationships/hyperlink" Target="mailto:mayoradmin@map.fs.gov.za" TargetMode="External"/><Relationship Id="rId5" Type="http://schemas.openxmlformats.org/officeDocument/2006/relationships/hyperlink" Target="mailto:mayor@map.fs.gov.za" TargetMode="External"/><Relationship Id="rId10" Type="http://schemas.openxmlformats.org/officeDocument/2006/relationships/hyperlink" Target="mailto:juliat@map.fs.gov.za" TargetMode="External"/><Relationship Id="rId4" Type="http://schemas.openxmlformats.org/officeDocument/2006/relationships/hyperlink" Target="mailto:kopano@map.fs.gov.za" TargetMode="External"/><Relationship Id="rId9" Type="http://schemas.openxmlformats.org/officeDocument/2006/relationships/hyperlink" Target="mailto:nrateng@map.fs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view="pageBreakPreview" zoomScaleNormal="100" zoomScaleSheetLayoutView="100" workbookViewId="0">
      <selection activeCell="Q32" sqref="Q32"/>
    </sheetView>
  </sheetViews>
  <sheetFormatPr defaultRowHeight="12.75"/>
  <sheetData>
    <row r="1" spans="1:1">
      <c r="A1" t="str">
        <f>muni</f>
        <v>FS194 Maluti-a-Phofung</v>
      </c>
    </row>
  </sheetData>
  <sheetProtection sheet="1" objects="1" scenarios="1"/>
  <phoneticPr fontId="3" type="noConversion"/>
  <pageMargins left="0.75" right="0.75" top="1" bottom="1" header="0.5" footer="0.5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zoomScaleNormal="100" zoomScaleSheetLayoutView="100" workbookViewId="0">
      <selection activeCell="P32" sqref="P32"/>
    </sheetView>
  </sheetViews>
  <sheetFormatPr defaultRowHeight="12.75"/>
  <cols>
    <col min="22" max="22" width="5.42578125" customWidth="1"/>
    <col min="23" max="23" width="9.42578125" style="602" customWidth="1"/>
    <col min="24" max="25" width="9.140625" style="602"/>
  </cols>
  <sheetData>
    <row r="2" spans="4:24">
      <c r="D2">
        <v>2020</v>
      </c>
    </row>
    <row r="4" spans="4:24">
      <c r="X4" s="694" t="s">
        <v>714</v>
      </c>
    </row>
    <row r="5" spans="4:24">
      <c r="X5" s="694" t="s">
        <v>89</v>
      </c>
    </row>
    <row r="6" spans="4:24">
      <c r="X6" s="694"/>
    </row>
    <row r="7" spans="4:24">
      <c r="W7" s="660" t="s">
        <v>183</v>
      </c>
      <c r="X7" s="694" t="s">
        <v>241</v>
      </c>
    </row>
    <row r="8" spans="4:24">
      <c r="X8" s="694" t="s">
        <v>184</v>
      </c>
    </row>
    <row r="9" spans="4:24">
      <c r="X9" s="694"/>
    </row>
    <row r="10" spans="4:24">
      <c r="W10" s="660" t="s">
        <v>1047</v>
      </c>
      <c r="X10" s="697">
        <v>7</v>
      </c>
    </row>
    <row r="11" spans="4:24">
      <c r="W11" s="660" t="s">
        <v>1048</v>
      </c>
      <c r="X11" s="719" t="str">
        <f>VLOOKUP(X10,W39:X55,2)</f>
        <v>M07 January</v>
      </c>
    </row>
    <row r="12" spans="4:24">
      <c r="X12" s="694"/>
    </row>
    <row r="13" spans="4:24">
      <c r="X13" s="694"/>
    </row>
    <row r="14" spans="4:24">
      <c r="X14" s="694"/>
    </row>
    <row r="15" spans="4:24">
      <c r="X15" s="694"/>
    </row>
    <row r="16" spans="4:24">
      <c r="X16" s="694"/>
    </row>
    <row r="17" spans="23:24">
      <c r="X17" s="694"/>
    </row>
    <row r="18" spans="23:24">
      <c r="X18" s="694"/>
    </row>
    <row r="19" spans="23:24">
      <c r="W19" s="660" t="s">
        <v>185</v>
      </c>
      <c r="X19" s="694">
        <v>2008</v>
      </c>
    </row>
    <row r="20" spans="23:24">
      <c r="X20" s="694">
        <v>2009</v>
      </c>
    </row>
    <row r="21" spans="23:24">
      <c r="X21" s="694">
        <v>2010</v>
      </c>
    </row>
    <row r="22" spans="23:24">
      <c r="X22" s="694">
        <v>2011</v>
      </c>
    </row>
    <row r="23" spans="23:24">
      <c r="X23" s="694">
        <v>2012</v>
      </c>
    </row>
    <row r="24" spans="23:24">
      <c r="X24" s="694">
        <v>2013</v>
      </c>
    </row>
    <row r="25" spans="23:24">
      <c r="X25" s="694">
        <v>2014</v>
      </c>
    </row>
    <row r="26" spans="23:24">
      <c r="X26" s="694">
        <v>2016</v>
      </c>
    </row>
    <row r="27" spans="23:24">
      <c r="X27" s="694">
        <v>2017</v>
      </c>
    </row>
    <row r="28" spans="23:24">
      <c r="X28" s="694">
        <v>2018</v>
      </c>
    </row>
    <row r="29" spans="23:24">
      <c r="X29" s="694">
        <v>2019</v>
      </c>
    </row>
    <row r="30" spans="23:24">
      <c r="X30" s="694">
        <v>2020</v>
      </c>
    </row>
    <row r="31" spans="23:24">
      <c r="X31" s="694">
        <v>2021</v>
      </c>
    </row>
    <row r="32" spans="23:24">
      <c r="X32" s="694">
        <v>2022</v>
      </c>
    </row>
    <row r="33" spans="22:24">
      <c r="X33" s="694"/>
    </row>
    <row r="34" spans="22:24">
      <c r="W34" s="660" t="s">
        <v>186</v>
      </c>
      <c r="X34" s="694">
        <v>6</v>
      </c>
    </row>
    <row r="35" spans="22:24">
      <c r="W35" s="660" t="s">
        <v>187</v>
      </c>
      <c r="X35" s="698">
        <f>INDEX(X19:X32,X34,1)</f>
        <v>2013</v>
      </c>
    </row>
    <row r="36" spans="22:24">
      <c r="X36" s="696"/>
    </row>
    <row r="37" spans="22:24">
      <c r="W37" s="660" t="s">
        <v>188</v>
      </c>
      <c r="X37" s="695" t="str">
        <f>MTREF&amp;"/"&amp;RIGHT(MTREF,2)+1</f>
        <v>2013/14</v>
      </c>
    </row>
    <row r="39" spans="22:24">
      <c r="V39" s="660" t="s">
        <v>1041</v>
      </c>
      <c r="W39" s="660">
        <v>1</v>
      </c>
      <c r="X39" s="660" t="s">
        <v>1043</v>
      </c>
    </row>
    <row r="40" spans="22:24">
      <c r="W40" s="660">
        <v>2</v>
      </c>
      <c r="X40" s="660" t="s">
        <v>1044</v>
      </c>
    </row>
    <row r="41" spans="22:24">
      <c r="W41" s="660">
        <v>3</v>
      </c>
      <c r="X41" s="660" t="s">
        <v>1049</v>
      </c>
    </row>
    <row r="42" spans="22:24">
      <c r="W42" s="660">
        <v>4</v>
      </c>
      <c r="X42" s="660" t="s">
        <v>1050</v>
      </c>
    </row>
    <row r="43" spans="22:24">
      <c r="W43" s="660">
        <v>5</v>
      </c>
      <c r="X43" s="660" t="s">
        <v>1051</v>
      </c>
    </row>
    <row r="44" spans="22:24">
      <c r="W44" s="660">
        <v>6</v>
      </c>
      <c r="X44" s="660" t="s">
        <v>1052</v>
      </c>
    </row>
    <row r="45" spans="22:24">
      <c r="W45" s="660">
        <v>7</v>
      </c>
      <c r="X45" s="660" t="s">
        <v>1053</v>
      </c>
    </row>
    <row r="46" spans="22:24">
      <c r="W46" s="660">
        <v>8</v>
      </c>
      <c r="X46" s="660" t="s">
        <v>1054</v>
      </c>
    </row>
    <row r="47" spans="22:24">
      <c r="W47" s="660">
        <v>9</v>
      </c>
      <c r="X47" s="660" t="s">
        <v>1055</v>
      </c>
    </row>
    <row r="48" spans="22:24">
      <c r="W48" s="660">
        <v>10</v>
      </c>
      <c r="X48" s="660" t="s">
        <v>1056</v>
      </c>
    </row>
    <row r="49" spans="23:24">
      <c r="W49" s="660">
        <v>11</v>
      </c>
      <c r="X49" s="660" t="s">
        <v>1057</v>
      </c>
    </row>
    <row r="50" spans="23:24">
      <c r="W50" s="660">
        <v>12</v>
      </c>
      <c r="X50" s="660" t="s">
        <v>1058</v>
      </c>
    </row>
    <row r="51" spans="23:24">
      <c r="W51" s="660">
        <v>13</v>
      </c>
      <c r="X51" s="660" t="s">
        <v>1045</v>
      </c>
    </row>
    <row r="52" spans="23:24">
      <c r="W52" s="660">
        <v>14</v>
      </c>
      <c r="X52" s="660" t="s">
        <v>1046</v>
      </c>
    </row>
    <row r="53" spans="23:24">
      <c r="W53" s="660">
        <v>15</v>
      </c>
      <c r="X53" s="660" t="s">
        <v>1059</v>
      </c>
    </row>
    <row r="54" spans="23:24">
      <c r="W54" s="660">
        <v>16</v>
      </c>
      <c r="X54" s="660" t="s">
        <v>1060</v>
      </c>
    </row>
    <row r="55" spans="23:24">
      <c r="W55" s="660">
        <v>17</v>
      </c>
      <c r="X55" s="660" t="s">
        <v>1042</v>
      </c>
    </row>
  </sheetData>
  <sheetProtection sheet="1" objects="1" scenarios="1"/>
  <phoneticPr fontId="3" type="noConversion"/>
  <pageMargins left="0.75" right="0.75" top="1" bottom="1" header="0.5" footer="0.5"/>
  <pageSetup paperSize="9" scale="76" orientation="landscape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autoPict="0" r:id="rId5">
            <anchor moveWithCells="1">
              <from>
                <xdr:col>0</xdr:col>
                <xdr:colOff>200025</xdr:colOff>
                <xdr:row>10</xdr:row>
                <xdr:rowOff>123825</xdr:rowOff>
              </from>
              <to>
                <xdr:col>1</xdr:col>
                <xdr:colOff>200025</xdr:colOff>
                <xdr:row>11</xdr:row>
                <xdr:rowOff>38100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autoPict="0" r:id="rId7">
            <anchor moveWithCells="1">
              <from>
                <xdr:col>0</xdr:col>
                <xdr:colOff>200025</xdr:colOff>
                <xdr:row>9</xdr:row>
                <xdr:rowOff>85725</xdr:rowOff>
              </from>
              <to>
                <xdr:col>1</xdr:col>
                <xdr:colOff>200025</xdr:colOff>
                <xdr:row>10</xdr:row>
                <xdr:rowOff>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autoPict="0" r:id="rId9">
            <anchor moveWithCells="1">
              <from>
                <xdr:col>0</xdr:col>
                <xdr:colOff>200025</xdr:colOff>
                <xdr:row>8</xdr:row>
                <xdr:rowOff>142875</xdr:rowOff>
              </from>
              <to>
                <xdr:col>1</xdr:col>
                <xdr:colOff>200025</xdr:colOff>
                <xdr:row>9</xdr:row>
                <xdr:rowOff>57150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autoPict="0" linkedCell="Contacts!B64" r:id="rId11">
            <anchor moveWithCells="1">
              <from>
                <xdr:col>2</xdr:col>
                <xdr:colOff>180975</xdr:colOff>
                <xdr:row>2</xdr:row>
                <xdr:rowOff>76200</xdr:rowOff>
              </from>
              <to>
                <xdr:col>2</xdr:col>
                <xdr:colOff>533400</xdr:colOff>
                <xdr:row>2</xdr:row>
                <xdr:rowOff>133350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autoPict="0" linkedCell="Contacts!B65" r:id="rId13">
            <anchor moveWithCells="1">
              <from>
                <xdr:col>1</xdr:col>
                <xdr:colOff>219075</xdr:colOff>
                <xdr:row>3</xdr:row>
                <xdr:rowOff>0</xdr:rowOff>
              </from>
              <to>
                <xdr:col>2</xdr:col>
                <xdr:colOff>533400</xdr:colOff>
                <xdr:row>3</xdr:row>
                <xdr:rowOff>57150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autoPict="0" linkedCell="Contacts!B62" r:id="rId15">
            <anchor moveWithCells="1">
              <from>
                <xdr:col>1</xdr:col>
                <xdr:colOff>219075</xdr:colOff>
                <xdr:row>2</xdr:row>
                <xdr:rowOff>66675</xdr:rowOff>
              </from>
              <to>
                <xdr:col>2</xdr:col>
                <xdr:colOff>0</xdr:colOff>
                <xdr:row>2</xdr:row>
                <xdr:rowOff>123825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autoPict="0" linkedCell="Contacts!B61" r:id="rId17">
            <anchor moveWithCells="1">
              <from>
                <xdr:col>1</xdr:col>
                <xdr:colOff>219075</xdr:colOff>
                <xdr:row>1</xdr:row>
                <xdr:rowOff>133350</xdr:rowOff>
              </from>
              <to>
                <xdr:col>2</xdr:col>
                <xdr:colOff>533400</xdr:colOff>
                <xdr:row>2</xdr:row>
                <xdr:rowOff>38100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1</xdr:col>
                <xdr:colOff>219075</xdr:colOff>
                <xdr:row>5</xdr:row>
                <xdr:rowOff>9525</xdr:rowOff>
              </from>
              <to>
                <xdr:col>1</xdr:col>
                <xdr:colOff>447675</xdr:colOff>
                <xdr:row>5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1</xdr:col>
                <xdr:colOff>219075</xdr:colOff>
                <xdr:row>5</xdr:row>
                <xdr:rowOff>104775</xdr:rowOff>
              </from>
              <to>
                <xdr:col>2</xdr:col>
                <xdr:colOff>19050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1</xdr:col>
                <xdr:colOff>219075</xdr:colOff>
                <xdr:row>4</xdr:row>
                <xdr:rowOff>47625</xdr:rowOff>
              </from>
              <to>
                <xdr:col>1</xdr:col>
                <xdr:colOff>533400</xdr:colOff>
                <xdr:row>4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1</xdr:col>
                <xdr:colOff>219075</xdr:colOff>
                <xdr:row>1</xdr:row>
                <xdr:rowOff>28575</xdr:rowOff>
              </from>
              <to>
                <xdr:col>2</xdr:col>
                <xdr:colOff>533400</xdr:colOff>
                <xdr:row>1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1</xdr:col>
                <xdr:colOff>219075</xdr:colOff>
                <xdr:row>3</xdr:row>
                <xdr:rowOff>114300</xdr:rowOff>
              </from>
              <to>
                <xdr:col>1</xdr:col>
                <xdr:colOff>533400</xdr:colOff>
                <xdr:row>4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topLeftCell="C1" workbookViewId="0">
      <pane ySplit="1" topLeftCell="A2" activePane="bottomLeft" state="frozen"/>
      <selection activeCell="T26" sqref="T26"/>
      <selection pane="bottomLeft" activeCell="E5" sqref="E5"/>
    </sheetView>
  </sheetViews>
  <sheetFormatPr defaultRowHeight="11.25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>
      <c r="A1" s="945" t="s">
        <v>796</v>
      </c>
      <c r="B1" s="946"/>
      <c r="C1" s="946"/>
      <c r="D1" s="947"/>
    </row>
    <row r="2" spans="1:4">
      <c r="A2" s="740" t="s">
        <v>1092</v>
      </c>
      <c r="B2" s="741" t="str">
        <f>HLOOKUP(MTREF,Headings,2)</f>
        <v>2012/13</v>
      </c>
      <c r="C2" s="742" t="s">
        <v>47</v>
      </c>
      <c r="D2" s="743"/>
    </row>
    <row r="3" spans="1:4">
      <c r="A3" s="744" t="s">
        <v>1127</v>
      </c>
      <c r="B3" s="745" t="str">
        <f>HLOOKUP(MTREF,Headings,5)</f>
        <v>Budget Year 2013/14</v>
      </c>
      <c r="C3" s="745" t="s">
        <v>52</v>
      </c>
      <c r="D3" s="746"/>
    </row>
    <row r="4" spans="1:4">
      <c r="A4" s="744" t="s">
        <v>838</v>
      </c>
      <c r="B4" s="745" t="str">
        <f>HLOOKUP(MTREF,Headings,4)</f>
        <v>2013/14</v>
      </c>
      <c r="C4" s="745" t="s">
        <v>53</v>
      </c>
      <c r="D4" s="746"/>
    </row>
    <row r="5" spans="1:4">
      <c r="A5" s="744" t="s">
        <v>1128</v>
      </c>
      <c r="B5" s="745" t="str">
        <f>HLOOKUP(MTREF,Headings,3)</f>
        <v>2013/14 Medium Term Revenue &amp; Expenditure Framework</v>
      </c>
      <c r="C5" s="745" t="s">
        <v>48</v>
      </c>
      <c r="D5" s="746"/>
    </row>
    <row r="6" spans="1:4">
      <c r="A6" s="2" t="s">
        <v>1129</v>
      </c>
      <c r="B6" s="4" t="s">
        <v>645</v>
      </c>
      <c r="C6" s="4"/>
      <c r="D6" s="9"/>
    </row>
    <row r="7" spans="1:4">
      <c r="A7" s="2" t="s">
        <v>690</v>
      </c>
      <c r="B7" s="4" t="s">
        <v>691</v>
      </c>
      <c r="C7" s="4"/>
      <c r="D7" s="9"/>
    </row>
    <row r="8" spans="1:4">
      <c r="A8" s="2" t="s">
        <v>1157</v>
      </c>
      <c r="B8" s="4" t="s">
        <v>1158</v>
      </c>
      <c r="C8" s="4"/>
      <c r="D8" s="9"/>
    </row>
    <row r="9" spans="1:4">
      <c r="A9" s="2" t="s">
        <v>1130</v>
      </c>
      <c r="B9" s="4" t="s">
        <v>761</v>
      </c>
      <c r="C9" s="4"/>
      <c r="D9" s="9"/>
    </row>
    <row r="10" spans="1:4">
      <c r="A10" s="2" t="s">
        <v>1131</v>
      </c>
      <c r="B10" s="4" t="s">
        <v>1009</v>
      </c>
      <c r="C10" s="4"/>
      <c r="D10" s="9"/>
    </row>
    <row r="11" spans="1:4">
      <c r="A11" s="2" t="s">
        <v>1132</v>
      </c>
      <c r="B11" s="4" t="s">
        <v>1010</v>
      </c>
      <c r="C11" s="4"/>
      <c r="D11" s="9"/>
    </row>
    <row r="12" spans="1:4">
      <c r="A12" s="744" t="s">
        <v>1133</v>
      </c>
      <c r="B12" s="745" t="str">
        <f>HLOOKUP(MTREF,Headings,5)</f>
        <v>Budget Year 2013/14</v>
      </c>
      <c r="C12" s="745" t="s">
        <v>49</v>
      </c>
      <c r="D12" s="747" t="s">
        <v>863</v>
      </c>
    </row>
    <row r="13" spans="1:4">
      <c r="A13" s="744" t="s">
        <v>1134</v>
      </c>
      <c r="B13" s="745" t="str">
        <f>HLOOKUP(MTREF,Headings,6)</f>
        <v>Budget Year +1 2014/15</v>
      </c>
      <c r="C13" s="745" t="s">
        <v>50</v>
      </c>
      <c r="D13" s="747" t="s">
        <v>864</v>
      </c>
    </row>
    <row r="14" spans="1:4">
      <c r="A14" s="744" t="s">
        <v>1136</v>
      </c>
      <c r="B14" s="745" t="str">
        <f>HLOOKUP(MTREF,Headings,7)</f>
        <v>Budget Year +2 2015/16</v>
      </c>
      <c r="C14" s="745" t="s">
        <v>51</v>
      </c>
      <c r="D14" s="747" t="s">
        <v>865</v>
      </c>
    </row>
    <row r="15" spans="1:4">
      <c r="A15" s="2" t="s">
        <v>1137</v>
      </c>
      <c r="B15" s="4" t="s">
        <v>872</v>
      </c>
      <c r="C15" s="4"/>
      <c r="D15" s="14" t="s">
        <v>866</v>
      </c>
    </row>
    <row r="16" spans="1:4">
      <c r="A16" s="2" t="s">
        <v>1138</v>
      </c>
      <c r="B16" s="4" t="s">
        <v>873</v>
      </c>
      <c r="C16" s="4"/>
      <c r="D16" s="14" t="s">
        <v>867</v>
      </c>
    </row>
    <row r="17" spans="1:4">
      <c r="A17" s="2" t="s">
        <v>1139</v>
      </c>
      <c r="B17" s="4" t="s">
        <v>874</v>
      </c>
      <c r="C17" s="4"/>
      <c r="D17" s="14" t="s">
        <v>868</v>
      </c>
    </row>
    <row r="18" spans="1:4">
      <c r="A18" s="2" t="s">
        <v>1140</v>
      </c>
      <c r="B18" s="4" t="s">
        <v>875</v>
      </c>
      <c r="C18" s="4"/>
      <c r="D18" s="14" t="s">
        <v>869</v>
      </c>
    </row>
    <row r="19" spans="1:4">
      <c r="A19" s="2" t="s">
        <v>1141</v>
      </c>
      <c r="B19" s="4" t="s">
        <v>702</v>
      </c>
      <c r="C19" s="4"/>
      <c r="D19" s="14" t="s">
        <v>870</v>
      </c>
    </row>
    <row r="20" spans="1:4">
      <c r="A20" s="2" t="s">
        <v>1142</v>
      </c>
      <c r="B20" s="4" t="s">
        <v>703</v>
      </c>
      <c r="C20" s="4"/>
      <c r="D20" s="14" t="s">
        <v>871</v>
      </c>
    </row>
    <row r="21" spans="1:4">
      <c r="A21" s="2" t="s">
        <v>1143</v>
      </c>
      <c r="B21" s="4" t="s">
        <v>704</v>
      </c>
      <c r="C21" s="4"/>
      <c r="D21" s="14" t="s">
        <v>771</v>
      </c>
    </row>
    <row r="22" spans="1:4">
      <c r="A22" s="2" t="s">
        <v>1144</v>
      </c>
      <c r="B22" s="4" t="s">
        <v>705</v>
      </c>
      <c r="C22" s="4"/>
      <c r="D22" s="14" t="s">
        <v>594</v>
      </c>
    </row>
    <row r="23" spans="1:4">
      <c r="A23" s="2" t="s">
        <v>1145</v>
      </c>
      <c r="B23" s="4" t="s">
        <v>554</v>
      </c>
      <c r="C23" s="4"/>
      <c r="D23" s="14" t="s">
        <v>595</v>
      </c>
    </row>
    <row r="24" spans="1:4">
      <c r="A24" s="2" t="s">
        <v>1146</v>
      </c>
      <c r="B24" s="4" t="s">
        <v>553</v>
      </c>
      <c r="C24" s="4"/>
      <c r="D24" s="14" t="s">
        <v>596</v>
      </c>
    </row>
    <row r="25" spans="1:4">
      <c r="A25" s="2" t="s">
        <v>1147</v>
      </c>
      <c r="B25" s="4" t="s">
        <v>706</v>
      </c>
      <c r="C25" s="4"/>
      <c r="D25" s="14" t="s">
        <v>597</v>
      </c>
    </row>
    <row r="26" spans="1:4">
      <c r="A26" s="2" t="s">
        <v>1148</v>
      </c>
      <c r="B26" s="4" t="s">
        <v>1135</v>
      </c>
      <c r="C26" s="4"/>
      <c r="D26" s="14" t="s">
        <v>598</v>
      </c>
    </row>
    <row r="27" spans="1:4">
      <c r="A27" s="2" t="s">
        <v>780</v>
      </c>
      <c r="B27" s="4" t="s">
        <v>827</v>
      </c>
      <c r="C27" s="4"/>
      <c r="D27" s="14" t="s">
        <v>781</v>
      </c>
    </row>
    <row r="28" spans="1:4">
      <c r="A28" s="2" t="s">
        <v>688</v>
      </c>
      <c r="B28" s="4" t="s">
        <v>542</v>
      </c>
      <c r="C28" s="4"/>
      <c r="D28" s="14" t="s">
        <v>689</v>
      </c>
    </row>
    <row r="29" spans="1:4">
      <c r="A29" s="2" t="s">
        <v>812</v>
      </c>
      <c r="B29" s="4" t="s">
        <v>813</v>
      </c>
      <c r="C29" s="4"/>
      <c r="D29" s="14" t="s">
        <v>814</v>
      </c>
    </row>
    <row r="30" spans="1:4">
      <c r="A30" s="2" t="s">
        <v>815</v>
      </c>
      <c r="B30" s="4" t="s">
        <v>715</v>
      </c>
      <c r="C30" s="4"/>
      <c r="D30" s="14"/>
    </row>
    <row r="31" spans="1:4">
      <c r="A31" s="2" t="s">
        <v>799</v>
      </c>
      <c r="B31" s="4" t="s">
        <v>800</v>
      </c>
      <c r="C31" s="4"/>
      <c r="D31" s="14"/>
    </row>
    <row r="32" spans="1:4">
      <c r="A32" s="2" t="s">
        <v>707</v>
      </c>
      <c r="B32" s="4" t="s">
        <v>1080</v>
      </c>
      <c r="C32" s="4"/>
      <c r="D32" s="14" t="s">
        <v>708</v>
      </c>
    </row>
    <row r="33" spans="1:4">
      <c r="A33" s="2" t="s">
        <v>935</v>
      </c>
      <c r="B33" s="4" t="s">
        <v>941</v>
      </c>
      <c r="C33" s="4"/>
      <c r="D33" s="14"/>
    </row>
    <row r="34" spans="1:4">
      <c r="A34" s="2" t="s">
        <v>936</v>
      </c>
      <c r="B34" s="4" t="s">
        <v>942</v>
      </c>
      <c r="C34" s="4"/>
      <c r="D34" s="14"/>
    </row>
    <row r="35" spans="1:4">
      <c r="A35" s="2" t="s">
        <v>937</v>
      </c>
      <c r="B35" s="4" t="s">
        <v>655</v>
      </c>
      <c r="C35" s="4"/>
      <c r="D35" s="14"/>
    </row>
    <row r="36" spans="1:4">
      <c r="A36" s="2" t="s">
        <v>938</v>
      </c>
      <c r="B36" s="4" t="s">
        <v>764</v>
      </c>
      <c r="C36" s="4"/>
      <c r="D36" s="14"/>
    </row>
    <row r="37" spans="1:4">
      <c r="A37" s="2" t="s">
        <v>939</v>
      </c>
      <c r="B37" s="4" t="s">
        <v>765</v>
      </c>
      <c r="C37" s="4"/>
      <c r="D37" s="14"/>
    </row>
    <row r="38" spans="1:4">
      <c r="A38" s="2" t="s">
        <v>940</v>
      </c>
      <c r="B38" s="4" t="s">
        <v>653</v>
      </c>
      <c r="C38" s="4"/>
      <c r="D38" s="14"/>
    </row>
    <row r="39" spans="1:4">
      <c r="A39" s="2" t="s">
        <v>654</v>
      </c>
      <c r="B39" s="4" t="s">
        <v>731</v>
      </c>
      <c r="C39" s="4"/>
      <c r="D39" s="14"/>
    </row>
    <row r="40" spans="1:4">
      <c r="A40" s="2" t="s">
        <v>911</v>
      </c>
      <c r="B40" s="4" t="s">
        <v>828</v>
      </c>
      <c r="C40" s="4"/>
      <c r="D40" s="14"/>
    </row>
    <row r="41" spans="1:4">
      <c r="A41" s="2" t="s">
        <v>912</v>
      </c>
      <c r="B41" s="4" t="s">
        <v>829</v>
      </c>
      <c r="C41" s="4"/>
      <c r="D41" s="14"/>
    </row>
    <row r="42" spans="1:4">
      <c r="A42" s="2" t="s">
        <v>913</v>
      </c>
      <c r="B42" s="4" t="s">
        <v>918</v>
      </c>
      <c r="C42" s="4"/>
      <c r="D42" s="14"/>
    </row>
    <row r="43" spans="1:4">
      <c r="A43" s="2" t="s">
        <v>917</v>
      </c>
      <c r="B43" s="4" t="s">
        <v>880</v>
      </c>
      <c r="C43" s="4"/>
      <c r="D43" s="14"/>
    </row>
    <row r="44" spans="1:4">
      <c r="A44" s="2" t="s">
        <v>635</v>
      </c>
      <c r="B44" s="7" t="s">
        <v>881</v>
      </c>
      <c r="C44" s="4"/>
      <c r="D44" s="14"/>
    </row>
    <row r="45" spans="1:4">
      <c r="A45" s="2" t="s">
        <v>636</v>
      </c>
      <c r="B45" s="7" t="s">
        <v>960</v>
      </c>
      <c r="C45" s="4"/>
      <c r="D45" s="14"/>
    </row>
    <row r="46" spans="1:4">
      <c r="A46" s="2" t="s">
        <v>637</v>
      </c>
      <c r="B46" s="7" t="s">
        <v>593</v>
      </c>
      <c r="C46" s="4"/>
      <c r="D46" s="14"/>
    </row>
    <row r="47" spans="1:4">
      <c r="A47" s="2" t="s">
        <v>959</v>
      </c>
      <c r="B47" s="7" t="str">
        <f>Head3&amp;" Summary"</f>
        <v>2013/14 Medium Term Revenue &amp; Expenditure Framework Summary</v>
      </c>
      <c r="C47" s="4"/>
      <c r="D47" s="14"/>
    </row>
    <row r="48" spans="1:4">
      <c r="A48" s="2" t="s">
        <v>766</v>
      </c>
      <c r="B48" s="7" t="s">
        <v>769</v>
      </c>
      <c r="C48" s="4"/>
      <c r="D48" s="14"/>
    </row>
    <row r="49" spans="1:4">
      <c r="A49" s="2" t="s">
        <v>767</v>
      </c>
      <c r="B49" s="7" t="s">
        <v>768</v>
      </c>
      <c r="C49" s="4"/>
      <c r="D49" s="14"/>
    </row>
    <row r="50" spans="1:4">
      <c r="A50" s="2" t="s">
        <v>1116</v>
      </c>
      <c r="B50" s="16" t="s">
        <v>576</v>
      </c>
      <c r="C50" s="17"/>
      <c r="D50" s="14"/>
    </row>
    <row r="51" spans="1:4">
      <c r="A51" s="2" t="s">
        <v>798</v>
      </c>
      <c r="B51" s="7" t="s">
        <v>783</v>
      </c>
      <c r="C51" s="4"/>
      <c r="D51" s="14"/>
    </row>
    <row r="52" spans="1:4">
      <c r="A52" s="2" t="s">
        <v>721</v>
      </c>
      <c r="B52" s="7" t="s">
        <v>544</v>
      </c>
      <c r="C52" s="4"/>
      <c r="D52" s="14"/>
    </row>
    <row r="53" spans="1:4">
      <c r="A53" s="2" t="s">
        <v>790</v>
      </c>
      <c r="B53" s="7" t="s">
        <v>792</v>
      </c>
      <c r="C53" s="4"/>
      <c r="D53" s="14"/>
    </row>
    <row r="54" spans="1:4">
      <c r="A54" s="2" t="s">
        <v>791</v>
      </c>
      <c r="B54" s="7" t="s">
        <v>1002</v>
      </c>
      <c r="C54" s="4"/>
      <c r="D54" s="14"/>
    </row>
    <row r="55" spans="1:4">
      <c r="A55" s="2" t="s">
        <v>997</v>
      </c>
      <c r="B55" s="7" t="s">
        <v>1001</v>
      </c>
      <c r="C55" s="4"/>
      <c r="D55" s="14"/>
    </row>
    <row r="56" spans="1:4">
      <c r="A56" s="2" t="s">
        <v>998</v>
      </c>
      <c r="B56" s="7" t="s">
        <v>575</v>
      </c>
      <c r="C56" s="4"/>
      <c r="D56" s="14"/>
    </row>
    <row r="57" spans="1:4">
      <c r="A57" s="2" t="s">
        <v>999</v>
      </c>
      <c r="B57" s="7" t="s">
        <v>1003</v>
      </c>
      <c r="C57" s="4"/>
      <c r="D57" s="14"/>
    </row>
    <row r="58" spans="1:4">
      <c r="A58" s="2" t="s">
        <v>1000</v>
      </c>
      <c r="B58" s="7" t="s">
        <v>1153</v>
      </c>
      <c r="C58" s="4"/>
      <c r="D58" s="14"/>
    </row>
    <row r="59" spans="1:4">
      <c r="A59" s="2" t="s">
        <v>819</v>
      </c>
      <c r="B59" s="7" t="s">
        <v>574</v>
      </c>
      <c r="C59" s="4"/>
      <c r="D59" s="14"/>
    </row>
    <row r="60" spans="1:4">
      <c r="A60" s="2" t="s">
        <v>966</v>
      </c>
      <c r="B60" s="7" t="s">
        <v>967</v>
      </c>
      <c r="C60" s="4"/>
      <c r="D60" s="14"/>
    </row>
    <row r="61" spans="1:4">
      <c r="A61" s="2" t="s">
        <v>878</v>
      </c>
      <c r="B61" s="604" t="str">
        <f>date</f>
        <v>M07 January</v>
      </c>
      <c r="C61" s="4"/>
      <c r="D61" s="14"/>
    </row>
    <row r="62" spans="1:4">
      <c r="A62" s="2" t="s">
        <v>1159</v>
      </c>
      <c r="B62" s="7" t="s">
        <v>1160</v>
      </c>
      <c r="C62" s="4"/>
      <c r="D62" s="14"/>
    </row>
    <row r="63" spans="1:4">
      <c r="A63" s="2" t="s">
        <v>1161</v>
      </c>
      <c r="B63" s="7" t="s">
        <v>782</v>
      </c>
      <c r="C63" s="4"/>
      <c r="D63" s="14"/>
    </row>
    <row r="64" spans="1:4">
      <c r="A64" s="2" t="s">
        <v>15</v>
      </c>
      <c r="B64" s="7" t="s">
        <v>1070</v>
      </c>
      <c r="C64" s="9" t="s">
        <v>54</v>
      </c>
      <c r="D64" s="748" t="e">
        <f>MONTH(date)</f>
        <v>#VALUE!</v>
      </c>
    </row>
    <row r="65" spans="1:6">
      <c r="A65" s="2" t="s">
        <v>1030</v>
      </c>
      <c r="B65" s="7" t="s">
        <v>1028</v>
      </c>
      <c r="C65" s="4"/>
      <c r="D65" s="14"/>
    </row>
    <row r="66" spans="1:6">
      <c r="A66" s="2" t="s">
        <v>1031</v>
      </c>
      <c r="B66" s="7" t="s">
        <v>1029</v>
      </c>
      <c r="C66" s="4"/>
      <c r="D66" s="14"/>
    </row>
    <row r="67" spans="1:6">
      <c r="A67" s="2" t="s">
        <v>1032</v>
      </c>
      <c r="B67" s="7" t="s">
        <v>1034</v>
      </c>
      <c r="C67" s="4"/>
      <c r="D67" s="14"/>
    </row>
    <row r="68" spans="1:6">
      <c r="A68" s="2" t="s">
        <v>1033</v>
      </c>
      <c r="B68" s="7" t="s">
        <v>808</v>
      </c>
      <c r="C68" s="4"/>
      <c r="D68" s="14"/>
    </row>
    <row r="69" spans="1:6">
      <c r="A69" s="2" t="s">
        <v>809</v>
      </c>
      <c r="B69" s="7" t="s">
        <v>854</v>
      </c>
      <c r="C69" s="4"/>
      <c r="D69" s="14"/>
    </row>
    <row r="70" spans="1:6">
      <c r="A70" s="2" t="s">
        <v>810</v>
      </c>
      <c r="B70" s="7" t="s">
        <v>855</v>
      </c>
      <c r="C70" s="4"/>
      <c r="D70" s="14"/>
    </row>
    <row r="71" spans="1:6">
      <c r="A71" s="2" t="s">
        <v>857</v>
      </c>
      <c r="B71" s="7" t="s">
        <v>856</v>
      </c>
      <c r="C71" s="4"/>
      <c r="D71" s="14"/>
    </row>
    <row r="72" spans="1:6">
      <c r="A72" s="950" t="s">
        <v>924</v>
      </c>
      <c r="B72" s="951"/>
      <c r="C72" s="951"/>
      <c r="D72" s="952"/>
    </row>
    <row r="73" spans="1:6">
      <c r="A73" s="749" t="s">
        <v>811</v>
      </c>
      <c r="B73" s="750" t="str">
        <f>'Lookup and lists'!B27</f>
        <v>FS194 Maluti-a-Phofung</v>
      </c>
      <c r="C73" s="750"/>
      <c r="D73" s="6"/>
    </row>
    <row r="74" spans="1:6">
      <c r="A74" s="749" t="s">
        <v>94</v>
      </c>
      <c r="B74" s="751">
        <v>1</v>
      </c>
      <c r="C74" s="750" t="s">
        <v>189</v>
      </c>
      <c r="D74" s="6">
        <v>2</v>
      </c>
    </row>
    <row r="75" spans="1:6">
      <c r="A75" s="661" t="str">
        <f>IF((MuniEntities=1)*(MuniType=2),"YES","NO")</f>
        <v>YES</v>
      </c>
      <c r="B75" s="379" t="s">
        <v>777</v>
      </c>
      <c r="C75" s="603"/>
      <c r="D75" s="6"/>
    </row>
    <row r="76" spans="1:6">
      <c r="A76" s="948" t="s">
        <v>970</v>
      </c>
      <c r="B76" s="949"/>
      <c r="C76" s="376"/>
      <c r="D76" s="18"/>
    </row>
    <row r="77" spans="1:6">
      <c r="A77" s="11" t="s">
        <v>789</v>
      </c>
      <c r="B77" s="419" t="str">
        <f t="shared" ref="B77:B83" si="0">IF(Consolques="YES",E77,F77)</f>
        <v>Table C1 Consolidated Monthly Budget Statement Summary</v>
      </c>
      <c r="C77" s="8"/>
      <c r="D77" s="14" t="s">
        <v>97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>
      <c r="A78" s="12" t="s">
        <v>724</v>
      </c>
      <c r="B78" s="4" t="str">
        <f t="shared" si="0"/>
        <v xml:space="preserve">Table C3 Consolidated Monthly Budget Statement - Financial Performance (revenue and expenditure by municipal vote) </v>
      </c>
      <c r="C78" s="4"/>
      <c r="D78" s="14" t="s">
        <v>99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>
      <c r="A79" s="12" t="s">
        <v>830</v>
      </c>
      <c r="B79" s="4" t="str">
        <f>IF(Consolques="YES",E79,F79)</f>
        <v xml:space="preserve">Table C2 Consolidated Monthly Budget Statement - Financial Performance (standard classification) </v>
      </c>
      <c r="C79" s="4"/>
      <c r="D79" s="14" t="s">
        <v>98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>
      <c r="A80" s="12" t="s">
        <v>831</v>
      </c>
      <c r="B80" s="4" t="str">
        <f>IF(Consolques="YES",E80,F80)</f>
        <v xml:space="preserve">Table C4 Consolidated Monthly Budget Statement - Financial Performance (revenue and expenditure) </v>
      </c>
      <c r="C80" s="4"/>
      <c r="D80" s="14" t="s">
        <v>100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>
      <c r="A81" s="12" t="s">
        <v>725</v>
      </c>
      <c r="B81" s="4" t="str">
        <f>IF(Consolques="YES",E81,F81)</f>
        <v xml:space="preserve">Table C5 Consolidated Monthly Budget Statement - Capital Expenditure (municipal vote, standard classification and funding </v>
      </c>
      <c r="C81" s="4"/>
      <c r="D81" s="14" t="s">
        <v>101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>
      <c r="A82" s="12" t="s">
        <v>832</v>
      </c>
      <c r="B82" s="4" t="str">
        <f t="shared" si="0"/>
        <v xml:space="preserve">Table C6 Consolidated Monthly Budget Statement - Financial Position </v>
      </c>
      <c r="C82" s="4"/>
      <c r="D82" s="14" t="s">
        <v>102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>
      <c r="A83" s="12" t="s">
        <v>833</v>
      </c>
      <c r="B83" s="4" t="str">
        <f t="shared" si="0"/>
        <v xml:space="preserve">Table C7 Consolidated Monthly Budget Statement - Cash Flow </v>
      </c>
      <c r="C83" s="4"/>
      <c r="D83" s="14" t="s">
        <v>103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>
      <c r="A84" s="12" t="s">
        <v>726</v>
      </c>
      <c r="B84" s="4" t="str">
        <f>D84&amp;"Material variance explanations "</f>
        <v xml:space="preserve">Supporting Table SC1 Material variance explanations </v>
      </c>
      <c r="C84" s="4"/>
      <c r="D84" s="14" t="s">
        <v>109</v>
      </c>
    </row>
    <row r="85" spans="1:6">
      <c r="A85" s="12" t="s">
        <v>834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110</v>
      </c>
    </row>
    <row r="86" spans="1:6">
      <c r="A86" s="12" t="s">
        <v>835</v>
      </c>
      <c r="B86" s="4" t="str">
        <f>D86&amp;"Monthly Budget Statement - aged debtors"</f>
        <v>Supporting Table SC3 Monthly Budget Statement - aged debtors</v>
      </c>
      <c r="C86" s="4"/>
      <c r="D86" s="14" t="s">
        <v>111</v>
      </c>
    </row>
    <row r="87" spans="1:6">
      <c r="A87" s="12" t="s">
        <v>836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112</v>
      </c>
    </row>
    <row r="88" spans="1:6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113</v>
      </c>
    </row>
    <row r="89" spans="1:6">
      <c r="A89" s="12" t="s">
        <v>916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114</v>
      </c>
    </row>
    <row r="90" spans="1:6">
      <c r="A90" s="12" t="s">
        <v>1121</v>
      </c>
      <c r="B90" s="4" t="str">
        <f>D90&amp;"Monthly Budget Statement - transfers and grant expenditure "</f>
        <v xml:space="preserve">Supporting Table SC7 Monthly Budget Statement - transfers and grant expenditure </v>
      </c>
      <c r="C90" s="4"/>
      <c r="D90" s="14" t="s">
        <v>115</v>
      </c>
    </row>
    <row r="91" spans="1:6">
      <c r="A91" s="12" t="s">
        <v>1122</v>
      </c>
      <c r="B91" s="4" t="str">
        <f>D91&amp;"Monthly Budget Statement - counillor and staff benefits "</f>
        <v xml:space="preserve">Supporting Table SC8 Monthly Budget Statement - counillor and staff benefits </v>
      </c>
      <c r="C91" s="4"/>
      <c r="D91" s="14" t="s">
        <v>116</v>
      </c>
    </row>
    <row r="92" spans="1:6">
      <c r="A92" s="12" t="s">
        <v>947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117</v>
      </c>
    </row>
    <row r="93" spans="1:6">
      <c r="A93" s="12" t="s">
        <v>948</v>
      </c>
      <c r="B93" s="4" t="str">
        <f t="shared" ref="B93:B99" si="1">IF(Consolques="YES",E93,F93)</f>
        <v xml:space="preserve">Supporting Table SC10 Monthly Budget Statement  - Parent Municipality Financial Performance (revenue and expenditure) </v>
      </c>
      <c r="C93" s="4"/>
      <c r="D93" s="14" t="s">
        <v>118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972</v>
      </c>
    </row>
    <row r="94" spans="1:6">
      <c r="A94" s="12" t="s">
        <v>949</v>
      </c>
      <c r="B94" s="4" t="str">
        <f t="shared" si="1"/>
        <v>Supporting Table SC11 Monthly Budget Statement - summary of municipal entities</v>
      </c>
      <c r="C94" s="4"/>
      <c r="D94" s="14" t="s">
        <v>119</v>
      </c>
      <c r="E94" s="1" t="str">
        <f>D94&amp;"Monthly Budget Statement - summary of municipal entities"</f>
        <v>Supporting Table SC11 Monthly Budget Statement - summary of municipal entities</v>
      </c>
      <c r="F94" s="1" t="s">
        <v>972</v>
      </c>
    </row>
    <row r="95" spans="1:6">
      <c r="A95" s="12" t="s">
        <v>14</v>
      </c>
      <c r="B95" s="4" t="str">
        <f t="shared" si="1"/>
        <v xml:space="preserve">Supporting Table SC12 Consolidated Monthly Budget Statement - capital expenditure trend </v>
      </c>
      <c r="C95" s="4"/>
      <c r="D95" s="14" t="s">
        <v>120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>
      <c r="A96" s="12" t="s">
        <v>193</v>
      </c>
      <c r="B96" s="4" t="str">
        <f t="shared" si="1"/>
        <v>Supporting Table SC13a Consolidated Monthly Budget Statement - capital expenditure on new assets by asset class</v>
      </c>
      <c r="C96" s="4"/>
      <c r="D96" s="14" t="s">
        <v>190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>
      <c r="A97" s="12" t="s">
        <v>194</v>
      </c>
      <c r="B97" s="4" t="str">
        <f t="shared" si="1"/>
        <v>Supporting Table SC13b Consolidated Monthly Budget Statement - capital expenditure on renewal of existing assets by asset class</v>
      </c>
      <c r="C97" s="4"/>
      <c r="D97" s="14" t="s">
        <v>191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>
      <c r="A98" s="12" t="s">
        <v>195</v>
      </c>
      <c r="B98" s="4" t="str">
        <f t="shared" si="1"/>
        <v>Supporting Table SC13c Consolidated Monthly Budget Statement - expenditure on repairs and maintenance by asset class</v>
      </c>
      <c r="C98" s="4"/>
      <c r="D98" s="14" t="s">
        <v>192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>
      <c r="A99" s="12" t="s">
        <v>1226</v>
      </c>
      <c r="B99" s="4" t="str">
        <f t="shared" si="1"/>
        <v>Supporting Table SC13d Consolidated Monthly Budget Statement - depreciation by asset class</v>
      </c>
      <c r="C99" s="4"/>
      <c r="D99" s="14" t="s">
        <v>1227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>
      <c r="A100" s="12"/>
      <c r="B100" s="5" t="s">
        <v>837</v>
      </c>
      <c r="C100" s="5"/>
      <c r="D100" s="14"/>
    </row>
    <row r="101" spans="1:6">
      <c r="A101" s="12"/>
      <c r="B101" s="4" t="str">
        <f>D101&amp;Head2A&amp;" Capital Expenditure Monthly Trend: actual v target"</f>
        <v>Chart C1 2013/14 Capital Expenditure Monthly Trend: actual v target</v>
      </c>
      <c r="C101" s="4"/>
      <c r="D101" s="14" t="s">
        <v>104</v>
      </c>
    </row>
    <row r="102" spans="1:6">
      <c r="A102" s="12"/>
      <c r="B102" s="4" t="str">
        <f>D102&amp;Head2A&amp;" Capital Expenditure: YTD actual v YTD target"</f>
        <v>Chart C2 2013/14 Capital Expenditure: YTD actual v YTD target</v>
      </c>
      <c r="C102" s="4"/>
      <c r="D102" s="14" t="s">
        <v>105</v>
      </c>
    </row>
    <row r="103" spans="1:6">
      <c r="A103" s="12"/>
      <c r="B103" s="4" t="str">
        <f>D103&amp;"Aged Consumer Debtors Analysis"</f>
        <v>Chart C3 Aged Consumer Debtors Analysis</v>
      </c>
      <c r="C103" s="4"/>
      <c r="D103" s="14" t="s">
        <v>106</v>
      </c>
    </row>
    <row r="104" spans="1:6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107</v>
      </c>
    </row>
    <row r="105" spans="1:6">
      <c r="A105" s="13"/>
      <c r="B105" s="10" t="str">
        <f>D105&amp;"Aged Creditors Analysis"</f>
        <v>Chart C5 Aged Creditors Analysis</v>
      </c>
      <c r="C105" s="10"/>
      <c r="D105" s="15" t="s">
        <v>108</v>
      </c>
    </row>
    <row r="106" spans="1:6">
      <c r="A106" s="1"/>
    </row>
    <row r="107" spans="1:6">
      <c r="A107" s="1"/>
    </row>
    <row r="108" spans="1:6">
      <c r="A108" s="1"/>
    </row>
    <row r="109" spans="1:6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3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workbookViewId="0">
      <selection activeCell="B12" sqref="B12"/>
    </sheetView>
  </sheetViews>
  <sheetFormatPr defaultRowHeight="11.25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bestFit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8" customFormat="1">
      <c r="A1" s="380" t="s">
        <v>827</v>
      </c>
      <c r="B1" s="381">
        <v>2007</v>
      </c>
      <c r="C1" s="381">
        <v>2008</v>
      </c>
      <c r="D1" s="381">
        <v>2009</v>
      </c>
      <c r="E1" s="382">
        <v>2010</v>
      </c>
      <c r="F1" s="381">
        <v>2011</v>
      </c>
      <c r="G1" s="382">
        <v>2012</v>
      </c>
      <c r="H1" s="381">
        <v>2013</v>
      </c>
      <c r="I1" s="382">
        <v>2014</v>
      </c>
      <c r="J1" s="381">
        <v>2015</v>
      </c>
      <c r="K1" s="382">
        <v>2016</v>
      </c>
      <c r="L1" s="381">
        <v>2017</v>
      </c>
      <c r="M1" s="382">
        <v>2018</v>
      </c>
      <c r="N1" s="381">
        <v>2019</v>
      </c>
      <c r="O1" s="382">
        <v>2020</v>
      </c>
      <c r="P1" s="383"/>
      <c r="Q1" s="384" t="s">
        <v>26</v>
      </c>
      <c r="R1" s="384" t="s">
        <v>27</v>
      </c>
      <c r="S1" s="384" t="s">
        <v>28</v>
      </c>
      <c r="T1" s="384" t="s">
        <v>29</v>
      </c>
      <c r="U1" s="384" t="s">
        <v>30</v>
      </c>
      <c r="V1" s="378" t="s">
        <v>88</v>
      </c>
    </row>
    <row r="2" spans="1:22">
      <c r="A2" s="7" t="str">
        <f>'Template names'!C2</f>
        <v>Prior year -1</v>
      </c>
      <c r="B2" s="4" t="s">
        <v>699</v>
      </c>
      <c r="C2" s="4" t="s">
        <v>31</v>
      </c>
      <c r="D2" s="4" t="s">
        <v>32</v>
      </c>
      <c r="E2" s="387" t="str">
        <f>E1-1&amp;"/"&amp;RIGHT(E1,2)-0</f>
        <v>2009/10</v>
      </c>
      <c r="F2" s="387" t="str">
        <f t="shared" ref="F2:O2" si="0">F1-1&amp;"/"&amp;RIGHT(F1,2)-0</f>
        <v>2010/11</v>
      </c>
      <c r="G2" s="387" t="str">
        <f t="shared" si="0"/>
        <v>2011/12</v>
      </c>
      <c r="H2" s="387" t="str">
        <f t="shared" si="0"/>
        <v>2012/13</v>
      </c>
      <c r="I2" s="387" t="str">
        <f t="shared" si="0"/>
        <v>2013/14</v>
      </c>
      <c r="J2" s="387" t="str">
        <f t="shared" si="0"/>
        <v>2014/15</v>
      </c>
      <c r="K2" s="387" t="str">
        <f t="shared" si="0"/>
        <v>2015/16</v>
      </c>
      <c r="L2" s="387" t="str">
        <f t="shared" si="0"/>
        <v>2016/17</v>
      </c>
      <c r="M2" s="387" t="str">
        <f t="shared" si="0"/>
        <v>2017/18</v>
      </c>
      <c r="N2" s="387" t="str">
        <f t="shared" si="0"/>
        <v>2018/19</v>
      </c>
      <c r="O2" s="387" t="str">
        <f t="shared" si="0"/>
        <v>2019/20</v>
      </c>
      <c r="P2" s="4"/>
      <c r="R2" s="1" t="s">
        <v>1182</v>
      </c>
      <c r="S2" s="1" t="s">
        <v>1192</v>
      </c>
      <c r="T2" s="1" t="s">
        <v>55</v>
      </c>
      <c r="U2" s="1" t="s">
        <v>1199</v>
      </c>
      <c r="V2" s="1" t="s">
        <v>714</v>
      </c>
    </row>
    <row r="3" spans="1:22">
      <c r="A3" s="7" t="str">
        <f>'Template names'!C5</f>
        <v>MTREF header name</v>
      </c>
      <c r="B3" s="4" t="s">
        <v>34</v>
      </c>
      <c r="C3" s="4" t="s">
        <v>35</v>
      </c>
      <c r="D3" s="4" t="s">
        <v>36</v>
      </c>
      <c r="E3" s="385" t="str">
        <f>E1&amp;"/"&amp;RIGHT(E1,2)+1&amp;" Medium Term Revenue &amp; Expenditure Framework"</f>
        <v>2010/11 Medium Term Revenue &amp; Expenditure Framework</v>
      </c>
      <c r="F3" s="385" t="str">
        <f t="shared" ref="F3:O3" si="1">F1&amp;"/"&amp;RIGHT(F1,2)+1&amp;" Medium Term Revenue &amp; Expenditure Framework"</f>
        <v>2011/12 Medium Term Revenue &amp; Expenditure Framework</v>
      </c>
      <c r="G3" s="385" t="str">
        <f t="shared" si="1"/>
        <v>2012/13 Medium Term Revenue &amp; Expenditure Framework</v>
      </c>
      <c r="H3" s="385" t="str">
        <f t="shared" si="1"/>
        <v>2013/14 Medium Term Revenue &amp; Expenditure Framework</v>
      </c>
      <c r="I3" s="385" t="str">
        <f t="shared" si="1"/>
        <v>2014/15 Medium Term Revenue &amp; Expenditure Framework</v>
      </c>
      <c r="J3" s="385" t="str">
        <f t="shared" si="1"/>
        <v>2015/16 Medium Term Revenue &amp; Expenditure Framework</v>
      </c>
      <c r="K3" s="385" t="str">
        <f t="shared" si="1"/>
        <v>2016/17 Medium Term Revenue &amp; Expenditure Framework</v>
      </c>
      <c r="L3" s="385" t="str">
        <f t="shared" si="1"/>
        <v>2017/18 Medium Term Revenue &amp; Expenditure Framework</v>
      </c>
      <c r="M3" s="385" t="str">
        <f t="shared" si="1"/>
        <v>2018/19 Medium Term Revenue &amp; Expenditure Framework</v>
      </c>
      <c r="N3" s="385" t="str">
        <f t="shared" si="1"/>
        <v>2019/20 Medium Term Revenue &amp; Expenditure Framework</v>
      </c>
      <c r="O3" s="385" t="str">
        <f t="shared" si="1"/>
        <v>2020/21 Medium Term Revenue &amp; Expenditure Framework</v>
      </c>
      <c r="P3" s="4"/>
      <c r="R3" s="1" t="s">
        <v>1183</v>
      </c>
      <c r="S3" s="1" t="s">
        <v>1193</v>
      </c>
      <c r="T3" s="1" t="s">
        <v>1204</v>
      </c>
      <c r="U3" s="1" t="s">
        <v>1200</v>
      </c>
      <c r="V3" s="1" t="s">
        <v>89</v>
      </c>
    </row>
    <row r="4" spans="1:22">
      <c r="A4" s="7" t="str">
        <f>'Template names'!C4</f>
        <v>Approved budget year</v>
      </c>
      <c r="B4" s="4" t="s">
        <v>31</v>
      </c>
      <c r="C4" s="4" t="s">
        <v>32</v>
      </c>
      <c r="D4" s="4" t="s">
        <v>33</v>
      </c>
      <c r="E4" s="388" t="str">
        <f>E1&amp;"/"&amp;RIGHT(E1,2)+1</f>
        <v>2010/11</v>
      </c>
      <c r="F4" s="388" t="str">
        <f t="shared" ref="F4:O4" si="2">F1&amp;"/"&amp;RIGHT(F1,2)+1</f>
        <v>2011/12</v>
      </c>
      <c r="G4" s="388" t="str">
        <f t="shared" si="2"/>
        <v>2012/13</v>
      </c>
      <c r="H4" s="388" t="str">
        <f t="shared" si="2"/>
        <v>2013/14</v>
      </c>
      <c r="I4" s="388" t="str">
        <f t="shared" si="2"/>
        <v>2014/15</v>
      </c>
      <c r="J4" s="388" t="str">
        <f t="shared" si="2"/>
        <v>2015/16</v>
      </c>
      <c r="K4" s="388" t="str">
        <f t="shared" si="2"/>
        <v>2016/17</v>
      </c>
      <c r="L4" s="388" t="str">
        <f t="shared" si="2"/>
        <v>2017/18</v>
      </c>
      <c r="M4" s="388" t="str">
        <f t="shared" si="2"/>
        <v>2018/19</v>
      </c>
      <c r="N4" s="388" t="str">
        <f t="shared" si="2"/>
        <v>2019/20</v>
      </c>
      <c r="O4" s="388" t="str">
        <f t="shared" si="2"/>
        <v>2020/21</v>
      </c>
      <c r="P4" s="4"/>
      <c r="R4" s="1" t="s">
        <v>1184</v>
      </c>
      <c r="S4" s="1" t="s">
        <v>876</v>
      </c>
      <c r="T4" s="1" t="s">
        <v>1194</v>
      </c>
      <c r="U4" s="1" t="s">
        <v>762</v>
      </c>
    </row>
    <row r="5" spans="1:22">
      <c r="A5" s="7" t="str">
        <f>'Template names'!C12</f>
        <v>1st year of MTREF</v>
      </c>
      <c r="B5" s="4" t="s">
        <v>37</v>
      </c>
      <c r="C5" s="4" t="s">
        <v>38</v>
      </c>
      <c r="D5" s="4" t="s">
        <v>39</v>
      </c>
      <c r="E5" s="385" t="str">
        <f>"Budget Year "&amp;E1&amp;"/"&amp;RIGHT(E1,2)+1</f>
        <v>Budget Year 2010/11</v>
      </c>
      <c r="F5" s="385" t="str">
        <f t="shared" ref="F5:O5" si="3">"Budget Year "&amp;F1&amp;"/"&amp;RIGHT(F1,2)+1</f>
        <v>Budget Year 2011/12</v>
      </c>
      <c r="G5" s="385" t="str">
        <f t="shared" si="3"/>
        <v>Budget Year 2012/13</v>
      </c>
      <c r="H5" s="385" t="str">
        <f t="shared" si="3"/>
        <v>Budget Year 2013/14</v>
      </c>
      <c r="I5" s="385" t="str">
        <f t="shared" si="3"/>
        <v>Budget Year 2014/15</v>
      </c>
      <c r="J5" s="385" t="str">
        <f t="shared" si="3"/>
        <v>Budget Year 2015/16</v>
      </c>
      <c r="K5" s="385" t="str">
        <f t="shared" si="3"/>
        <v>Budget Year 2016/17</v>
      </c>
      <c r="L5" s="385" t="str">
        <f t="shared" si="3"/>
        <v>Budget Year 2017/18</v>
      </c>
      <c r="M5" s="385" t="str">
        <f t="shared" si="3"/>
        <v>Budget Year 2018/19</v>
      </c>
      <c r="N5" s="385" t="str">
        <f t="shared" si="3"/>
        <v>Budget Year 2019/20</v>
      </c>
      <c r="O5" s="385" t="str">
        <f t="shared" si="3"/>
        <v>Budget Year 2020/21</v>
      </c>
      <c r="P5" s="4"/>
      <c r="R5" s="1" t="s">
        <v>710</v>
      </c>
      <c r="S5" s="1" t="s">
        <v>944</v>
      </c>
      <c r="T5" s="1" t="s">
        <v>1195</v>
      </c>
      <c r="U5" s="1" t="s">
        <v>1201</v>
      </c>
    </row>
    <row r="6" spans="1:22">
      <c r="A6" s="7" t="str">
        <f>'Template names'!C13</f>
        <v>2nd year of MTREF</v>
      </c>
      <c r="B6" s="4" t="s">
        <v>40</v>
      </c>
      <c r="C6" s="4" t="s">
        <v>41</v>
      </c>
      <c r="D6" s="4" t="s">
        <v>42</v>
      </c>
      <c r="E6" s="385" t="str">
        <f>"Budget Year +1 "&amp;E1+1&amp;"/"&amp;RIGHT(E1,2)+2</f>
        <v>Budget Year +1 2011/12</v>
      </c>
      <c r="F6" s="385" t="str">
        <f t="shared" ref="F6:O6" si="4">"Budget Year +1 "&amp;F1+1&amp;"/"&amp;RIGHT(F1,2)+2</f>
        <v>Budget Year +1 2012/13</v>
      </c>
      <c r="G6" s="385" t="str">
        <f t="shared" si="4"/>
        <v>Budget Year +1 2013/14</v>
      </c>
      <c r="H6" s="385" t="str">
        <f t="shared" si="4"/>
        <v>Budget Year +1 2014/15</v>
      </c>
      <c r="I6" s="385" t="str">
        <f t="shared" si="4"/>
        <v>Budget Year +1 2015/16</v>
      </c>
      <c r="J6" s="385" t="str">
        <f t="shared" si="4"/>
        <v>Budget Year +1 2016/17</v>
      </c>
      <c r="K6" s="385" t="str">
        <f t="shared" si="4"/>
        <v>Budget Year +1 2017/18</v>
      </c>
      <c r="L6" s="385" t="str">
        <f t="shared" si="4"/>
        <v>Budget Year +1 2018/19</v>
      </c>
      <c r="M6" s="385" t="str">
        <f t="shared" si="4"/>
        <v>Budget Year +1 2019/20</v>
      </c>
      <c r="N6" s="385" t="str">
        <f t="shared" si="4"/>
        <v>Budget Year +1 2020/21</v>
      </c>
      <c r="O6" s="385" t="str">
        <f t="shared" si="4"/>
        <v>Budget Year +1 2021/22</v>
      </c>
      <c r="P6" s="4"/>
      <c r="R6" s="1" t="s">
        <v>1185</v>
      </c>
      <c r="T6" s="1" t="s">
        <v>1196</v>
      </c>
      <c r="U6" s="1" t="s">
        <v>1202</v>
      </c>
    </row>
    <row r="7" spans="1:22">
      <c r="A7" s="7" t="str">
        <f>'Template names'!C14</f>
        <v>3rd year of MTREF</v>
      </c>
      <c r="B7" s="4" t="s">
        <v>43</v>
      </c>
      <c r="C7" s="4" t="s">
        <v>44</v>
      </c>
      <c r="D7" s="4" t="s">
        <v>45</v>
      </c>
      <c r="E7" s="385" t="str">
        <f>"Budget Year +2 "&amp;E1+2&amp;"/"&amp;RIGHT(E1,2)+3</f>
        <v>Budget Year +2 2012/13</v>
      </c>
      <c r="F7" s="385" t="str">
        <f t="shared" ref="F7:O7" si="5">"Budget Year +2 "&amp;F1+2&amp;"/"&amp;RIGHT(F1,2)+3</f>
        <v>Budget Year +2 2013/14</v>
      </c>
      <c r="G7" s="385" t="str">
        <f t="shared" si="5"/>
        <v>Budget Year +2 2014/15</v>
      </c>
      <c r="H7" s="385" t="str">
        <f t="shared" si="5"/>
        <v>Budget Year +2 2015/16</v>
      </c>
      <c r="I7" s="385" t="str">
        <f t="shared" si="5"/>
        <v>Budget Year +2 2016/17</v>
      </c>
      <c r="J7" s="385" t="str">
        <f t="shared" si="5"/>
        <v>Budget Year +2 2017/18</v>
      </c>
      <c r="K7" s="385" t="str">
        <f t="shared" si="5"/>
        <v>Budget Year +2 2018/19</v>
      </c>
      <c r="L7" s="385" t="str">
        <f t="shared" si="5"/>
        <v>Budget Year +2 2019/20</v>
      </c>
      <c r="M7" s="385" t="str">
        <f t="shared" si="5"/>
        <v>Budget Year +2 2020/21</v>
      </c>
      <c r="N7" s="385" t="str">
        <f t="shared" si="5"/>
        <v>Budget Year +2 2021/22</v>
      </c>
      <c r="O7" s="385" t="str">
        <f t="shared" si="5"/>
        <v>Budget Year +2 2022/23</v>
      </c>
      <c r="P7" s="4"/>
      <c r="R7" s="1" t="s">
        <v>1186</v>
      </c>
      <c r="T7" s="1" t="s">
        <v>1197</v>
      </c>
      <c r="U7" s="1" t="s">
        <v>1203</v>
      </c>
    </row>
    <row r="8" spans="1:22" ht="20.25" customHeight="1">
      <c r="A8" s="386" t="s">
        <v>46</v>
      </c>
      <c r="R8" s="1" t="s">
        <v>1187</v>
      </c>
      <c r="T8" s="1" t="s">
        <v>1198</v>
      </c>
      <c r="U8" s="1" t="s">
        <v>944</v>
      </c>
    </row>
    <row r="9" spans="1:22">
      <c r="R9" s="1" t="s">
        <v>1188</v>
      </c>
    </row>
    <row r="10" spans="1:22">
      <c r="R10" s="1" t="s">
        <v>1189</v>
      </c>
    </row>
    <row r="11" spans="1:22">
      <c r="R11" s="1" t="s">
        <v>1190</v>
      </c>
    </row>
    <row r="12" spans="1:22">
      <c r="R12" s="1" t="s">
        <v>1191</v>
      </c>
    </row>
    <row r="26" spans="1:3">
      <c r="A26" s="1" t="s">
        <v>242</v>
      </c>
      <c r="B26" s="1">
        <v>62</v>
      </c>
    </row>
    <row r="27" spans="1:3">
      <c r="A27" s="1" t="s">
        <v>243</v>
      </c>
      <c r="B27" s="1" t="str">
        <f>INDEX(B28:B311,B26,1)</f>
        <v>FS194 Maluti-a-Phofung</v>
      </c>
    </row>
    <row r="28" spans="1:3">
      <c r="B28" s="1" t="s">
        <v>244</v>
      </c>
      <c r="C28" s="1" t="s">
        <v>245</v>
      </c>
    </row>
    <row r="29" spans="1:3" ht="12.75">
      <c r="B29" s="907" t="s">
        <v>1249</v>
      </c>
      <c r="C29" s="908" t="s">
        <v>249</v>
      </c>
    </row>
    <row r="30" spans="1:3" ht="12.75">
      <c r="B30" s="907" t="s">
        <v>1250</v>
      </c>
      <c r="C30" s="909" t="s">
        <v>249</v>
      </c>
    </row>
    <row r="31" spans="1:3" ht="12.75">
      <c r="B31" s="907" t="s">
        <v>292</v>
      </c>
      <c r="C31" s="908" t="s">
        <v>249</v>
      </c>
    </row>
    <row r="32" spans="1:3" ht="12.75">
      <c r="B32" s="907" t="s">
        <v>293</v>
      </c>
      <c r="C32" s="908" t="s">
        <v>249</v>
      </c>
    </row>
    <row r="33" spans="2:3" ht="12.75">
      <c r="B33" s="907" t="s">
        <v>294</v>
      </c>
      <c r="C33" s="908" t="s">
        <v>249</v>
      </c>
    </row>
    <row r="34" spans="2:3" ht="12.75">
      <c r="B34" s="907" t="s">
        <v>295</v>
      </c>
      <c r="C34" s="908" t="s">
        <v>249</v>
      </c>
    </row>
    <row r="35" spans="2:3" ht="12.75">
      <c r="B35" s="907" t="s">
        <v>296</v>
      </c>
      <c r="C35" s="908" t="s">
        <v>249</v>
      </c>
    </row>
    <row r="36" spans="2:3" ht="12.75">
      <c r="B36" s="907" t="s">
        <v>297</v>
      </c>
      <c r="C36" s="909" t="s">
        <v>249</v>
      </c>
    </row>
    <row r="37" spans="2:3" ht="12.75">
      <c r="B37" s="907" t="s">
        <v>298</v>
      </c>
      <c r="C37" s="908" t="s">
        <v>249</v>
      </c>
    </row>
    <row r="38" spans="2:3" ht="12.75">
      <c r="B38" s="907" t="s">
        <v>299</v>
      </c>
      <c r="C38" s="910" t="s">
        <v>249</v>
      </c>
    </row>
    <row r="39" spans="2:3" ht="12.75">
      <c r="B39" s="907" t="s">
        <v>1170</v>
      </c>
      <c r="C39" s="910" t="s">
        <v>249</v>
      </c>
    </row>
    <row r="40" spans="2:3" ht="12.75">
      <c r="B40" s="907" t="s">
        <v>248</v>
      </c>
      <c r="C40" s="911" t="s">
        <v>249</v>
      </c>
    </row>
    <row r="41" spans="2:3" ht="12.75">
      <c r="B41" s="907" t="s">
        <v>300</v>
      </c>
      <c r="C41" s="911" t="s">
        <v>249</v>
      </c>
    </row>
    <row r="42" spans="2:3" ht="12.75">
      <c r="B42" s="907" t="s">
        <v>301</v>
      </c>
      <c r="C42" s="911" t="s">
        <v>249</v>
      </c>
    </row>
    <row r="43" spans="2:3" ht="12.75">
      <c r="B43" s="907" t="s">
        <v>302</v>
      </c>
      <c r="C43" s="911" t="s">
        <v>249</v>
      </c>
    </row>
    <row r="44" spans="2:3" ht="12.75">
      <c r="B44" s="907" t="s">
        <v>303</v>
      </c>
      <c r="C44" s="911" t="s">
        <v>249</v>
      </c>
    </row>
    <row r="45" spans="2:3" ht="12.75">
      <c r="B45" s="907" t="s">
        <v>304</v>
      </c>
      <c r="C45" s="911" t="s">
        <v>249</v>
      </c>
    </row>
    <row r="46" spans="2:3" ht="12.75">
      <c r="B46" s="907" t="s">
        <v>305</v>
      </c>
      <c r="C46" s="911" t="s">
        <v>249</v>
      </c>
    </row>
    <row r="47" spans="2:3" ht="12.75">
      <c r="B47" s="907" t="s">
        <v>306</v>
      </c>
      <c r="C47" s="911" t="s">
        <v>249</v>
      </c>
    </row>
    <row r="48" spans="2:3" ht="12.75">
      <c r="B48" s="907" t="s">
        <v>250</v>
      </c>
      <c r="C48" s="911" t="s">
        <v>249</v>
      </c>
    </row>
    <row r="49" spans="2:3" ht="12.75">
      <c r="B49" s="907" t="s">
        <v>307</v>
      </c>
      <c r="C49" s="911" t="s">
        <v>249</v>
      </c>
    </row>
    <row r="50" spans="2:3" ht="12.75">
      <c r="B50" s="907" t="s">
        <v>308</v>
      </c>
      <c r="C50" s="910" t="s">
        <v>249</v>
      </c>
    </row>
    <row r="51" spans="2:3" ht="12.75">
      <c r="B51" s="907" t="s">
        <v>309</v>
      </c>
      <c r="C51" s="910" t="s">
        <v>249</v>
      </c>
    </row>
    <row r="52" spans="2:3" ht="12.75">
      <c r="B52" s="907" t="s">
        <v>310</v>
      </c>
      <c r="C52" s="910" t="s">
        <v>249</v>
      </c>
    </row>
    <row r="53" spans="2:3" ht="12.75">
      <c r="B53" s="907" t="s">
        <v>311</v>
      </c>
      <c r="C53" s="910" t="s">
        <v>249</v>
      </c>
    </row>
    <row r="54" spans="2:3" ht="12.75">
      <c r="B54" s="907" t="s">
        <v>312</v>
      </c>
      <c r="C54" s="910" t="s">
        <v>249</v>
      </c>
    </row>
    <row r="55" spans="2:3" ht="12.75">
      <c r="B55" s="907" t="s">
        <v>313</v>
      </c>
      <c r="C55" s="910" t="s">
        <v>249</v>
      </c>
    </row>
    <row r="56" spans="2:3" ht="12.75">
      <c r="B56" s="907" t="s">
        <v>314</v>
      </c>
      <c r="C56" s="910" t="s">
        <v>249</v>
      </c>
    </row>
    <row r="57" spans="2:3" ht="12.75">
      <c r="B57" s="907" t="s">
        <v>251</v>
      </c>
      <c r="C57" s="660" t="s">
        <v>249</v>
      </c>
    </row>
    <row r="58" spans="2:3" ht="12.75">
      <c r="B58" s="907" t="s">
        <v>315</v>
      </c>
      <c r="C58" s="660" t="s">
        <v>249</v>
      </c>
    </row>
    <row r="59" spans="2:3" ht="12.75">
      <c r="B59" s="907" t="s">
        <v>316</v>
      </c>
      <c r="C59" s="910" t="s">
        <v>249</v>
      </c>
    </row>
    <row r="60" spans="2:3" ht="12.75">
      <c r="B60" s="907" t="s">
        <v>317</v>
      </c>
      <c r="C60" s="910" t="s">
        <v>249</v>
      </c>
    </row>
    <row r="61" spans="2:3" ht="12.75">
      <c r="B61" s="907" t="s">
        <v>318</v>
      </c>
      <c r="C61" s="910" t="s">
        <v>249</v>
      </c>
    </row>
    <row r="62" spans="2:3" ht="12.75">
      <c r="B62" s="907" t="s">
        <v>1167</v>
      </c>
      <c r="C62" s="910" t="s">
        <v>249</v>
      </c>
    </row>
    <row r="63" spans="2:3" ht="12.75">
      <c r="B63" s="907" t="s">
        <v>319</v>
      </c>
      <c r="C63" s="911" t="s">
        <v>249</v>
      </c>
    </row>
    <row r="64" spans="2:3" ht="12.75">
      <c r="B64" s="907" t="s">
        <v>320</v>
      </c>
      <c r="C64" s="910" t="s">
        <v>249</v>
      </c>
    </row>
    <row r="65" spans="2:3" ht="12.75">
      <c r="B65" s="907" t="s">
        <v>321</v>
      </c>
      <c r="C65" s="910" t="s">
        <v>249</v>
      </c>
    </row>
    <row r="66" spans="2:3" ht="12.75">
      <c r="B66" s="907" t="s">
        <v>322</v>
      </c>
      <c r="C66" s="910" t="s">
        <v>249</v>
      </c>
    </row>
    <row r="67" spans="2:3" ht="12.75">
      <c r="B67" s="907" t="s">
        <v>323</v>
      </c>
      <c r="C67" s="910" t="s">
        <v>249</v>
      </c>
    </row>
    <row r="68" spans="2:3" ht="12.75">
      <c r="B68" s="907" t="s">
        <v>252</v>
      </c>
      <c r="C68" s="910" t="s">
        <v>249</v>
      </c>
    </row>
    <row r="69" spans="2:3" ht="12.75">
      <c r="B69" s="907" t="s">
        <v>324</v>
      </c>
      <c r="C69" s="910" t="s">
        <v>249</v>
      </c>
    </row>
    <row r="70" spans="2:3" ht="12.75">
      <c r="B70" s="907" t="s">
        <v>325</v>
      </c>
      <c r="C70" s="910" t="s">
        <v>249</v>
      </c>
    </row>
    <row r="71" spans="2:3" ht="12.75">
      <c r="B71" s="907" t="s">
        <v>1242</v>
      </c>
      <c r="C71" s="910" t="s">
        <v>249</v>
      </c>
    </row>
    <row r="72" spans="2:3" ht="12.75">
      <c r="B72" s="907" t="s">
        <v>1243</v>
      </c>
      <c r="C72" s="910" t="s">
        <v>249</v>
      </c>
    </row>
    <row r="73" spans="2:3" ht="12.75">
      <c r="B73" s="907" t="s">
        <v>285</v>
      </c>
      <c r="C73" s="910" t="s">
        <v>249</v>
      </c>
    </row>
    <row r="74" spans="2:3" ht="12.75">
      <c r="B74" s="907" t="s">
        <v>1251</v>
      </c>
      <c r="C74" s="910" t="s">
        <v>254</v>
      </c>
    </row>
    <row r="75" spans="2:3" ht="12.75">
      <c r="B75" s="907" t="s">
        <v>326</v>
      </c>
      <c r="C75" s="910" t="s">
        <v>254</v>
      </c>
    </row>
    <row r="76" spans="2:3" ht="12.75">
      <c r="B76" s="907" t="s">
        <v>327</v>
      </c>
      <c r="C76" s="910" t="s">
        <v>254</v>
      </c>
    </row>
    <row r="77" spans="2:3" ht="12.75">
      <c r="B77" s="907" t="s">
        <v>328</v>
      </c>
      <c r="C77" s="910" t="s">
        <v>254</v>
      </c>
    </row>
    <row r="78" spans="2:3" ht="12.75">
      <c r="B78" s="907" t="s">
        <v>1244</v>
      </c>
      <c r="C78" s="910" t="s">
        <v>254</v>
      </c>
    </row>
    <row r="79" spans="2:3" ht="12.75">
      <c r="B79" s="907" t="s">
        <v>253</v>
      </c>
      <c r="C79" s="910" t="s">
        <v>254</v>
      </c>
    </row>
    <row r="80" spans="2:3" ht="12.75">
      <c r="B80" s="907" t="s">
        <v>329</v>
      </c>
      <c r="C80" s="910" t="s">
        <v>254</v>
      </c>
    </row>
    <row r="81" spans="2:3" ht="12.75">
      <c r="B81" s="907" t="s">
        <v>330</v>
      </c>
      <c r="C81" s="910" t="s">
        <v>254</v>
      </c>
    </row>
    <row r="82" spans="2:3" ht="12.75">
      <c r="B82" s="907" t="s">
        <v>331</v>
      </c>
      <c r="C82" s="910" t="s">
        <v>254</v>
      </c>
    </row>
    <row r="83" spans="2:3" ht="12.75">
      <c r="B83" s="907" t="s">
        <v>332</v>
      </c>
      <c r="C83" s="910" t="s">
        <v>254</v>
      </c>
    </row>
    <row r="84" spans="2:3" ht="12.75">
      <c r="B84" s="907" t="s">
        <v>333</v>
      </c>
      <c r="C84" s="910" t="s">
        <v>254</v>
      </c>
    </row>
    <row r="85" spans="2:3" ht="12.75">
      <c r="B85" s="907" t="s">
        <v>255</v>
      </c>
      <c r="C85" s="910" t="s">
        <v>254</v>
      </c>
    </row>
    <row r="86" spans="2:3" ht="12.75">
      <c r="B86" s="907" t="s">
        <v>334</v>
      </c>
      <c r="C86" s="910" t="s">
        <v>254</v>
      </c>
    </row>
    <row r="87" spans="2:3" ht="12.75">
      <c r="B87" s="907" t="s">
        <v>335</v>
      </c>
      <c r="C87" s="910" t="s">
        <v>254</v>
      </c>
    </row>
    <row r="88" spans="2:3" ht="12.75">
      <c r="B88" s="907" t="s">
        <v>336</v>
      </c>
      <c r="C88" s="910" t="s">
        <v>254</v>
      </c>
    </row>
    <row r="89" spans="2:3" ht="12.75">
      <c r="B89" s="907" t="s">
        <v>337</v>
      </c>
      <c r="C89" s="910" t="s">
        <v>254</v>
      </c>
    </row>
    <row r="90" spans="2:3" ht="12.75">
      <c r="B90" s="907" t="s">
        <v>338</v>
      </c>
      <c r="C90" s="910" t="s">
        <v>254</v>
      </c>
    </row>
    <row r="91" spans="2:3" ht="12.75">
      <c r="B91" s="907" t="s">
        <v>1245</v>
      </c>
      <c r="C91" s="910" t="s">
        <v>254</v>
      </c>
    </row>
    <row r="92" spans="2:3" ht="12.75">
      <c r="B92" s="907" t="s">
        <v>256</v>
      </c>
      <c r="C92" s="910" t="s">
        <v>254</v>
      </c>
    </row>
    <row r="93" spans="2:3" ht="12.75">
      <c r="B93" s="907" t="s">
        <v>339</v>
      </c>
      <c r="C93" s="910" t="s">
        <v>254</v>
      </c>
    </row>
    <row r="94" spans="2:3" ht="12.75">
      <c r="B94" s="907" t="s">
        <v>340</v>
      </c>
      <c r="C94" s="910" t="s">
        <v>254</v>
      </c>
    </row>
    <row r="95" spans="2:3" ht="12.75">
      <c r="B95" s="907" t="s">
        <v>341</v>
      </c>
      <c r="C95" s="910" t="s">
        <v>254</v>
      </c>
    </row>
    <row r="96" spans="2:3" ht="12.75">
      <c r="B96" s="907" t="s">
        <v>342</v>
      </c>
      <c r="C96" s="910" t="s">
        <v>254</v>
      </c>
    </row>
    <row r="97" spans="2:3" ht="12.75">
      <c r="B97" s="907" t="s">
        <v>257</v>
      </c>
      <c r="C97" s="910" t="s">
        <v>254</v>
      </c>
    </row>
    <row r="98" spans="2:3" ht="12.75">
      <c r="B98" s="907" t="s">
        <v>1252</v>
      </c>
      <c r="C98" s="910" t="s">
        <v>283</v>
      </c>
    </row>
    <row r="99" spans="2:3" ht="12.75">
      <c r="B99" s="907" t="s">
        <v>1253</v>
      </c>
      <c r="C99" s="910" t="s">
        <v>283</v>
      </c>
    </row>
    <row r="100" spans="2:3" ht="12.75">
      <c r="B100" s="907" t="s">
        <v>1254</v>
      </c>
      <c r="C100" s="910" t="s">
        <v>283</v>
      </c>
    </row>
    <row r="101" spans="2:3" ht="12.75">
      <c r="B101" s="907" t="s">
        <v>343</v>
      </c>
      <c r="C101" s="910" t="s">
        <v>283</v>
      </c>
    </row>
    <row r="102" spans="2:3" ht="12.75">
      <c r="B102" s="907" t="s">
        <v>344</v>
      </c>
      <c r="C102" s="910" t="s">
        <v>283</v>
      </c>
    </row>
    <row r="103" spans="2:3" ht="12.75">
      <c r="B103" s="907" t="s">
        <v>345</v>
      </c>
      <c r="C103" s="910" t="s">
        <v>283</v>
      </c>
    </row>
    <row r="104" spans="2:3" ht="12.75">
      <c r="B104" s="907" t="s">
        <v>282</v>
      </c>
      <c r="C104" s="910" t="s">
        <v>283</v>
      </c>
    </row>
    <row r="105" spans="2:3" ht="12.75">
      <c r="B105" s="907" t="s">
        <v>346</v>
      </c>
      <c r="C105" s="910" t="s">
        <v>283</v>
      </c>
    </row>
    <row r="106" spans="2:3" ht="12.75">
      <c r="B106" s="907" t="s">
        <v>347</v>
      </c>
      <c r="C106" s="910" t="s">
        <v>283</v>
      </c>
    </row>
    <row r="107" spans="2:3" ht="12.75">
      <c r="B107" s="907" t="s">
        <v>348</v>
      </c>
      <c r="C107" s="910" t="s">
        <v>283</v>
      </c>
    </row>
    <row r="108" spans="2:3" ht="12.75">
      <c r="B108" s="907" t="s">
        <v>1171</v>
      </c>
      <c r="C108" s="910" t="s">
        <v>283</v>
      </c>
    </row>
    <row r="109" spans="2:3" ht="12.75">
      <c r="B109" s="907" t="s">
        <v>287</v>
      </c>
      <c r="C109" s="910" t="s">
        <v>283</v>
      </c>
    </row>
    <row r="110" spans="2:3" ht="12.75">
      <c r="B110" s="907" t="s">
        <v>1255</v>
      </c>
      <c r="C110" s="910" t="s">
        <v>1168</v>
      </c>
    </row>
    <row r="111" spans="2:3" ht="12.75">
      <c r="B111" s="907" t="s">
        <v>349</v>
      </c>
      <c r="C111" s="910" t="s">
        <v>1168</v>
      </c>
    </row>
    <row r="112" spans="2:3" ht="12.75">
      <c r="B112" s="907" t="s">
        <v>350</v>
      </c>
      <c r="C112" s="908" t="s">
        <v>1168</v>
      </c>
    </row>
    <row r="113" spans="2:3" ht="12.75">
      <c r="B113" s="907" t="s">
        <v>351</v>
      </c>
      <c r="C113" s="908" t="s">
        <v>1168</v>
      </c>
    </row>
    <row r="114" spans="2:3" ht="12.75">
      <c r="B114" s="907" t="s">
        <v>352</v>
      </c>
      <c r="C114" s="908" t="s">
        <v>1168</v>
      </c>
    </row>
    <row r="115" spans="2:3" ht="12.75">
      <c r="B115" s="907" t="s">
        <v>1172</v>
      </c>
      <c r="C115" s="908" t="s">
        <v>1168</v>
      </c>
    </row>
    <row r="116" spans="2:3" ht="12.75">
      <c r="B116" s="907" t="s">
        <v>353</v>
      </c>
      <c r="C116" s="908" t="s">
        <v>1168</v>
      </c>
    </row>
    <row r="117" spans="2:3" ht="12.75">
      <c r="B117" s="907" t="s">
        <v>258</v>
      </c>
      <c r="C117" s="908" t="s">
        <v>1168</v>
      </c>
    </row>
    <row r="118" spans="2:3" ht="12.75">
      <c r="B118" s="907" t="s">
        <v>354</v>
      </c>
      <c r="C118" s="908" t="s">
        <v>1168</v>
      </c>
    </row>
    <row r="119" spans="2:3" ht="12.75">
      <c r="B119" s="907" t="s">
        <v>355</v>
      </c>
      <c r="C119" s="908" t="s">
        <v>1168</v>
      </c>
    </row>
    <row r="120" spans="2:3" ht="12.75">
      <c r="B120" s="907" t="s">
        <v>356</v>
      </c>
      <c r="C120" s="908" t="s">
        <v>1168</v>
      </c>
    </row>
    <row r="121" spans="2:3" ht="12.75">
      <c r="B121" s="907" t="s">
        <v>357</v>
      </c>
      <c r="C121" s="908" t="s">
        <v>1168</v>
      </c>
    </row>
    <row r="122" spans="2:3" ht="12.75">
      <c r="B122" s="907" t="s">
        <v>358</v>
      </c>
      <c r="C122" s="908" t="s">
        <v>1168</v>
      </c>
    </row>
    <row r="123" spans="2:3" ht="12.75">
      <c r="B123" s="907" t="s">
        <v>359</v>
      </c>
      <c r="C123" s="908" t="s">
        <v>1168</v>
      </c>
    </row>
    <row r="124" spans="2:3" ht="12.75">
      <c r="B124" s="907" t="s">
        <v>360</v>
      </c>
      <c r="C124" s="908" t="s">
        <v>1168</v>
      </c>
    </row>
    <row r="125" spans="2:3" ht="12.75">
      <c r="B125" s="907" t="s">
        <v>259</v>
      </c>
      <c r="C125" s="908" t="s">
        <v>1168</v>
      </c>
    </row>
    <row r="126" spans="2:3" ht="12.75">
      <c r="B126" s="907" t="s">
        <v>361</v>
      </c>
      <c r="C126" s="908" t="s">
        <v>1168</v>
      </c>
    </row>
    <row r="127" spans="2:3" ht="12.75">
      <c r="B127" s="907" t="s">
        <v>362</v>
      </c>
      <c r="C127" s="908" t="s">
        <v>1168</v>
      </c>
    </row>
    <row r="128" spans="2:3" ht="12.75">
      <c r="B128" s="907" t="s">
        <v>363</v>
      </c>
      <c r="C128" s="908" t="s">
        <v>1168</v>
      </c>
    </row>
    <row r="129" spans="2:3" ht="12.75">
      <c r="B129" s="907" t="s">
        <v>364</v>
      </c>
      <c r="C129" s="908" t="s">
        <v>1168</v>
      </c>
    </row>
    <row r="130" spans="2:3" ht="12.75">
      <c r="B130" s="907" t="s">
        <v>365</v>
      </c>
      <c r="C130" s="908" t="s">
        <v>1168</v>
      </c>
    </row>
    <row r="131" spans="2:3" ht="12.75">
      <c r="B131" s="907" t="s">
        <v>260</v>
      </c>
      <c r="C131" s="908" t="s">
        <v>1168</v>
      </c>
    </row>
    <row r="132" spans="2:3" ht="12.75">
      <c r="B132" s="907" t="s">
        <v>366</v>
      </c>
      <c r="C132" s="910" t="s">
        <v>1168</v>
      </c>
    </row>
    <row r="133" spans="2:3" ht="12.75">
      <c r="B133" s="907" t="s">
        <v>367</v>
      </c>
      <c r="C133" s="910" t="s">
        <v>1168</v>
      </c>
    </row>
    <row r="134" spans="2:3" ht="12.75">
      <c r="B134" s="907" t="s">
        <v>368</v>
      </c>
      <c r="C134" s="910" t="s">
        <v>1168</v>
      </c>
    </row>
    <row r="135" spans="2:3" ht="12.75">
      <c r="B135" s="907" t="s">
        <v>370</v>
      </c>
      <c r="C135" s="910" t="s">
        <v>1168</v>
      </c>
    </row>
    <row r="136" spans="2:3" ht="12.75">
      <c r="B136" s="907" t="s">
        <v>261</v>
      </c>
      <c r="C136" s="910" t="s">
        <v>1168</v>
      </c>
    </row>
    <row r="137" spans="2:3" ht="12.75">
      <c r="B137" s="907" t="s">
        <v>371</v>
      </c>
      <c r="C137" s="910" t="s">
        <v>1168</v>
      </c>
    </row>
    <row r="138" spans="2:3" ht="12.75">
      <c r="B138" s="907" t="s">
        <v>372</v>
      </c>
      <c r="C138" s="910" t="s">
        <v>1168</v>
      </c>
    </row>
    <row r="139" spans="2:3" ht="12.75">
      <c r="B139" s="907" t="s">
        <v>373</v>
      </c>
      <c r="C139" s="910" t="s">
        <v>1168</v>
      </c>
    </row>
    <row r="140" spans="2:3" ht="12.75">
      <c r="B140" s="907" t="s">
        <v>262</v>
      </c>
      <c r="C140" s="910" t="s">
        <v>1168</v>
      </c>
    </row>
    <row r="141" spans="2:3" ht="12.75">
      <c r="B141" s="907" t="s">
        <v>374</v>
      </c>
      <c r="C141" s="910" t="s">
        <v>1168</v>
      </c>
    </row>
    <row r="142" spans="2:3" ht="12.75">
      <c r="B142" s="907" t="s">
        <v>375</v>
      </c>
      <c r="C142" s="911" t="s">
        <v>1168</v>
      </c>
    </row>
    <row r="143" spans="2:3" ht="12.75">
      <c r="B143" s="907" t="s">
        <v>376</v>
      </c>
      <c r="C143" s="911" t="s">
        <v>1168</v>
      </c>
    </row>
    <row r="144" spans="2:3" ht="12.75">
      <c r="B144" s="907" t="s">
        <v>377</v>
      </c>
      <c r="C144" s="911" t="s">
        <v>1168</v>
      </c>
    </row>
    <row r="145" spans="2:3" ht="12.75">
      <c r="B145" s="907" t="s">
        <v>378</v>
      </c>
      <c r="C145" s="911" t="s">
        <v>1168</v>
      </c>
    </row>
    <row r="146" spans="2:3" ht="12.75">
      <c r="B146" s="907" t="s">
        <v>263</v>
      </c>
      <c r="C146" s="911" t="s">
        <v>1168</v>
      </c>
    </row>
    <row r="147" spans="2:3" ht="12.75">
      <c r="B147" s="907" t="s">
        <v>379</v>
      </c>
      <c r="C147" s="911" t="s">
        <v>1168</v>
      </c>
    </row>
    <row r="148" spans="2:3" ht="12.75">
      <c r="B148" s="907" t="s">
        <v>380</v>
      </c>
      <c r="C148" s="911" t="s">
        <v>1168</v>
      </c>
    </row>
    <row r="149" spans="2:3" ht="12.75">
      <c r="B149" s="907" t="s">
        <v>1173</v>
      </c>
      <c r="C149" s="911" t="s">
        <v>1168</v>
      </c>
    </row>
    <row r="150" spans="2:3" ht="12.75">
      <c r="B150" s="907" t="s">
        <v>381</v>
      </c>
      <c r="C150" s="911" t="s">
        <v>1168</v>
      </c>
    </row>
    <row r="151" spans="2:3" ht="12.75">
      <c r="B151" s="907" t="s">
        <v>382</v>
      </c>
      <c r="C151" s="911" t="s">
        <v>1168</v>
      </c>
    </row>
    <row r="152" spans="2:3" ht="12.75">
      <c r="B152" s="907" t="s">
        <v>264</v>
      </c>
      <c r="C152" s="911" t="s">
        <v>1168</v>
      </c>
    </row>
    <row r="153" spans="2:3" ht="12.75">
      <c r="B153" s="907" t="s">
        <v>1174</v>
      </c>
      <c r="C153" s="911" t="s">
        <v>1168</v>
      </c>
    </row>
    <row r="154" spans="2:3" ht="12.75">
      <c r="B154" s="907" t="s">
        <v>383</v>
      </c>
      <c r="C154" s="911" t="s">
        <v>1168</v>
      </c>
    </row>
    <row r="155" spans="2:3" ht="12.75">
      <c r="B155" s="907" t="s">
        <v>384</v>
      </c>
      <c r="C155" s="911" t="s">
        <v>1168</v>
      </c>
    </row>
    <row r="156" spans="2:3" ht="12.75">
      <c r="B156" s="907" t="s">
        <v>1175</v>
      </c>
      <c r="C156" s="911" t="s">
        <v>1168</v>
      </c>
    </row>
    <row r="157" spans="2:3" ht="12.75">
      <c r="B157" s="907" t="s">
        <v>385</v>
      </c>
      <c r="C157" s="911" t="s">
        <v>1168</v>
      </c>
    </row>
    <row r="158" spans="2:3" ht="12.75">
      <c r="B158" s="907" t="s">
        <v>386</v>
      </c>
      <c r="C158" s="911" t="s">
        <v>1168</v>
      </c>
    </row>
    <row r="159" spans="2:3" ht="12.75">
      <c r="B159" s="907" t="s">
        <v>265</v>
      </c>
      <c r="C159" s="911" t="s">
        <v>1168</v>
      </c>
    </row>
    <row r="160" spans="2:3" ht="12.75">
      <c r="B160" s="907" t="s">
        <v>387</v>
      </c>
      <c r="C160" s="911" t="s">
        <v>1168</v>
      </c>
    </row>
    <row r="161" spans="2:3" ht="12.75">
      <c r="B161" s="907" t="s">
        <v>388</v>
      </c>
      <c r="C161" s="911" t="s">
        <v>1168</v>
      </c>
    </row>
    <row r="162" spans="2:3" ht="12.75">
      <c r="B162" s="907" t="s">
        <v>389</v>
      </c>
      <c r="C162" s="911" t="s">
        <v>1168</v>
      </c>
    </row>
    <row r="163" spans="2:3" ht="12.75">
      <c r="B163" s="907" t="s">
        <v>390</v>
      </c>
      <c r="C163" s="911" t="s">
        <v>1168</v>
      </c>
    </row>
    <row r="164" spans="2:3" ht="12.75">
      <c r="B164" s="907" t="s">
        <v>266</v>
      </c>
      <c r="C164" s="911" t="s">
        <v>1168</v>
      </c>
    </row>
    <row r="165" spans="2:3" ht="12.75">
      <c r="B165" s="907" t="s">
        <v>391</v>
      </c>
      <c r="C165" s="911" t="s">
        <v>1168</v>
      </c>
    </row>
    <row r="166" spans="2:3" ht="12.75">
      <c r="B166" s="907" t="s">
        <v>392</v>
      </c>
      <c r="C166" s="911" t="s">
        <v>1168</v>
      </c>
    </row>
    <row r="167" spans="2:3" ht="12.75">
      <c r="B167" s="907" t="s">
        <v>393</v>
      </c>
      <c r="C167" s="911" t="s">
        <v>1168</v>
      </c>
    </row>
    <row r="168" spans="2:3" ht="12.75">
      <c r="B168" s="907" t="s">
        <v>394</v>
      </c>
      <c r="C168" s="911" t="s">
        <v>1168</v>
      </c>
    </row>
    <row r="169" spans="2:3" ht="12.75">
      <c r="B169" s="907" t="s">
        <v>395</v>
      </c>
      <c r="C169" s="911" t="s">
        <v>1168</v>
      </c>
    </row>
    <row r="170" spans="2:3" ht="12.75">
      <c r="B170" s="907" t="s">
        <v>284</v>
      </c>
      <c r="C170" s="911" t="s">
        <v>1168</v>
      </c>
    </row>
    <row r="171" spans="2:3" ht="12.75">
      <c r="B171" s="907" t="s">
        <v>396</v>
      </c>
      <c r="C171" s="911" t="s">
        <v>1256</v>
      </c>
    </row>
    <row r="172" spans="2:3" ht="12.75">
      <c r="B172" s="907" t="s">
        <v>397</v>
      </c>
      <c r="C172" s="911" t="s">
        <v>1256</v>
      </c>
    </row>
    <row r="173" spans="2:3" ht="12.75">
      <c r="B173" s="907" t="s">
        <v>398</v>
      </c>
      <c r="C173" s="911" t="s">
        <v>1256</v>
      </c>
    </row>
    <row r="174" spans="2:3" ht="12.75">
      <c r="B174" s="907" t="s">
        <v>399</v>
      </c>
      <c r="C174" s="911" t="s">
        <v>1256</v>
      </c>
    </row>
    <row r="175" spans="2:3" ht="12.75">
      <c r="B175" s="907" t="s">
        <v>400</v>
      </c>
      <c r="C175" s="911" t="s">
        <v>1256</v>
      </c>
    </row>
    <row r="176" spans="2:3" ht="12.75">
      <c r="B176" s="907" t="s">
        <v>272</v>
      </c>
      <c r="C176" s="911" t="s">
        <v>1256</v>
      </c>
    </row>
    <row r="177" spans="2:3" ht="12.75">
      <c r="B177" s="907" t="s">
        <v>401</v>
      </c>
      <c r="C177" s="911" t="s">
        <v>1256</v>
      </c>
    </row>
    <row r="178" spans="2:3" ht="12.75">
      <c r="B178" s="907" t="s">
        <v>402</v>
      </c>
      <c r="C178" s="911" t="s">
        <v>1256</v>
      </c>
    </row>
    <row r="179" spans="2:3" ht="12.75">
      <c r="B179" s="907" t="s">
        <v>403</v>
      </c>
      <c r="C179" s="911" t="s">
        <v>1256</v>
      </c>
    </row>
    <row r="180" spans="2:3" ht="12.75">
      <c r="B180" s="907" t="s">
        <v>404</v>
      </c>
      <c r="C180" s="911" t="s">
        <v>1256</v>
      </c>
    </row>
    <row r="181" spans="2:3" ht="12.75">
      <c r="B181" s="907" t="s">
        <v>273</v>
      </c>
      <c r="C181" s="911" t="s">
        <v>1256</v>
      </c>
    </row>
    <row r="182" spans="2:3" ht="12.75">
      <c r="B182" s="907" t="s">
        <v>405</v>
      </c>
      <c r="C182" s="911" t="s">
        <v>1256</v>
      </c>
    </row>
    <row r="183" spans="2:3" ht="12.75">
      <c r="B183" s="907" t="s">
        <v>406</v>
      </c>
      <c r="C183" s="911" t="s">
        <v>1256</v>
      </c>
    </row>
    <row r="184" spans="2:3" ht="12.75">
      <c r="B184" s="907" t="s">
        <v>407</v>
      </c>
      <c r="C184" s="911" t="s">
        <v>1256</v>
      </c>
    </row>
    <row r="185" spans="2:3" ht="12.75">
      <c r="B185" s="907" t="s">
        <v>408</v>
      </c>
      <c r="C185" s="911" t="s">
        <v>1256</v>
      </c>
    </row>
    <row r="186" spans="2:3" ht="12.75">
      <c r="B186" s="907" t="s">
        <v>409</v>
      </c>
      <c r="C186" s="911" t="s">
        <v>1256</v>
      </c>
    </row>
    <row r="187" spans="2:3" ht="12.75">
      <c r="B187" s="907" t="s">
        <v>274</v>
      </c>
      <c r="C187" s="911" t="s">
        <v>1256</v>
      </c>
    </row>
    <row r="188" spans="2:3" ht="12.75">
      <c r="B188" s="907" t="s">
        <v>410</v>
      </c>
      <c r="C188" s="911" t="s">
        <v>1256</v>
      </c>
    </row>
    <row r="189" spans="2:3" ht="12.75">
      <c r="B189" s="907" t="s">
        <v>411</v>
      </c>
      <c r="C189" s="911" t="s">
        <v>1256</v>
      </c>
    </row>
    <row r="190" spans="2:3" ht="12.75">
      <c r="B190" s="907" t="s">
        <v>412</v>
      </c>
      <c r="C190" s="911" t="s">
        <v>1256</v>
      </c>
    </row>
    <row r="191" spans="2:3" ht="12.75">
      <c r="B191" s="907" t="s">
        <v>413</v>
      </c>
      <c r="C191" s="911" t="s">
        <v>1256</v>
      </c>
    </row>
    <row r="192" spans="2:3" ht="12.75">
      <c r="B192" s="907" t="s">
        <v>414</v>
      </c>
      <c r="C192" s="911" t="s">
        <v>1256</v>
      </c>
    </row>
    <row r="193" spans="2:3" ht="12.75">
      <c r="B193" s="907" t="s">
        <v>415</v>
      </c>
      <c r="C193" s="910" t="s">
        <v>1256</v>
      </c>
    </row>
    <row r="194" spans="2:3" ht="12.75">
      <c r="B194" s="907" t="s">
        <v>275</v>
      </c>
      <c r="C194" s="910" t="s">
        <v>1256</v>
      </c>
    </row>
    <row r="195" spans="2:3" ht="12.75">
      <c r="B195" s="907" t="s">
        <v>1176</v>
      </c>
      <c r="C195" s="910" t="s">
        <v>1256</v>
      </c>
    </row>
    <row r="196" spans="2:3" ht="12.75">
      <c r="B196" s="907" t="s">
        <v>416</v>
      </c>
      <c r="C196" s="910" t="s">
        <v>1256</v>
      </c>
    </row>
    <row r="197" spans="2:3" ht="12.75">
      <c r="B197" s="907" t="s">
        <v>1177</v>
      </c>
      <c r="C197" s="910" t="s">
        <v>1256</v>
      </c>
    </row>
    <row r="198" spans="2:3" ht="12.75">
      <c r="B198" s="907" t="s">
        <v>417</v>
      </c>
      <c r="C198" s="910" t="s">
        <v>1256</v>
      </c>
    </row>
    <row r="199" spans="2:3" ht="12.75">
      <c r="B199" s="907" t="s">
        <v>418</v>
      </c>
      <c r="C199" s="910" t="s">
        <v>1256</v>
      </c>
    </row>
    <row r="200" spans="2:3" ht="12.75">
      <c r="B200" s="907" t="s">
        <v>1240</v>
      </c>
      <c r="C200" s="910" t="s">
        <v>1256</v>
      </c>
    </row>
    <row r="201" spans="2:3" ht="12.75">
      <c r="B201" s="907" t="s">
        <v>419</v>
      </c>
      <c r="C201" s="910" t="s">
        <v>269</v>
      </c>
    </row>
    <row r="202" spans="2:3" ht="12.75">
      <c r="B202" s="907" t="s">
        <v>420</v>
      </c>
      <c r="C202" s="910" t="s">
        <v>269</v>
      </c>
    </row>
    <row r="203" spans="2:3" ht="12.75">
      <c r="B203" s="907" t="s">
        <v>421</v>
      </c>
      <c r="C203" s="910" t="s">
        <v>269</v>
      </c>
    </row>
    <row r="204" spans="2:3" ht="12.75">
      <c r="B204" s="907" t="s">
        <v>1178</v>
      </c>
      <c r="C204" s="910" t="s">
        <v>269</v>
      </c>
    </row>
    <row r="205" spans="2:3" ht="12.75">
      <c r="B205" s="907" t="s">
        <v>422</v>
      </c>
      <c r="C205" s="910" t="s">
        <v>269</v>
      </c>
    </row>
    <row r="206" spans="2:3" ht="12.75">
      <c r="B206" s="907" t="s">
        <v>423</v>
      </c>
      <c r="C206" s="910" t="s">
        <v>269</v>
      </c>
    </row>
    <row r="207" spans="2:3" ht="12.75">
      <c r="B207" s="907" t="s">
        <v>424</v>
      </c>
      <c r="C207" s="910" t="s">
        <v>269</v>
      </c>
    </row>
    <row r="208" spans="2:3" ht="12.75">
      <c r="B208" s="907" t="s">
        <v>268</v>
      </c>
      <c r="C208" s="910" t="s">
        <v>269</v>
      </c>
    </row>
    <row r="209" spans="2:3" ht="12.75">
      <c r="B209" s="907" t="s">
        <v>1179</v>
      </c>
      <c r="C209" s="910" t="s">
        <v>269</v>
      </c>
    </row>
    <row r="210" spans="2:3" ht="12.75">
      <c r="B210" s="907" t="s">
        <v>1246</v>
      </c>
      <c r="C210" s="910" t="s">
        <v>269</v>
      </c>
    </row>
    <row r="211" spans="2:3" ht="12.75">
      <c r="B211" s="907" t="s">
        <v>425</v>
      </c>
      <c r="C211" s="910" t="s">
        <v>269</v>
      </c>
    </row>
    <row r="212" spans="2:3" ht="12.75">
      <c r="B212" s="907" t="s">
        <v>426</v>
      </c>
      <c r="C212" s="910" t="s">
        <v>269</v>
      </c>
    </row>
    <row r="213" spans="2:3" ht="12.75">
      <c r="B213" s="907" t="s">
        <v>1247</v>
      </c>
      <c r="C213" s="910" t="s">
        <v>269</v>
      </c>
    </row>
    <row r="214" spans="2:3" ht="12.75">
      <c r="B214" s="907" t="s">
        <v>427</v>
      </c>
      <c r="C214" s="910" t="s">
        <v>269</v>
      </c>
    </row>
    <row r="215" spans="2:3" ht="12.75">
      <c r="B215" s="907" t="s">
        <v>270</v>
      </c>
      <c r="C215" s="910" t="s">
        <v>269</v>
      </c>
    </row>
    <row r="216" spans="2:3" ht="12.75">
      <c r="B216" s="907" t="s">
        <v>428</v>
      </c>
      <c r="C216" s="910" t="s">
        <v>269</v>
      </c>
    </row>
    <row r="217" spans="2:3" ht="12.75">
      <c r="B217" s="907" t="s">
        <v>429</v>
      </c>
      <c r="C217" s="910" t="s">
        <v>269</v>
      </c>
    </row>
    <row r="218" spans="2:3" ht="12.75">
      <c r="B218" s="907" t="s">
        <v>430</v>
      </c>
      <c r="C218" s="910" t="s">
        <v>269</v>
      </c>
    </row>
    <row r="219" spans="2:3" ht="12.75">
      <c r="B219" s="907" t="s">
        <v>431</v>
      </c>
      <c r="C219" s="910" t="s">
        <v>269</v>
      </c>
    </row>
    <row r="220" spans="2:3" ht="12.75">
      <c r="B220" s="907" t="s">
        <v>432</v>
      </c>
      <c r="C220" s="910" t="s">
        <v>269</v>
      </c>
    </row>
    <row r="221" spans="2:3" ht="12.75">
      <c r="B221" s="907" t="s">
        <v>271</v>
      </c>
      <c r="C221" s="910" t="s">
        <v>269</v>
      </c>
    </row>
    <row r="222" spans="2:3" ht="12.75">
      <c r="B222" s="907" t="s">
        <v>493</v>
      </c>
      <c r="C222" s="910" t="s">
        <v>277</v>
      </c>
    </row>
    <row r="223" spans="2:3" ht="12.75">
      <c r="B223" s="907" t="s">
        <v>494</v>
      </c>
      <c r="C223" s="910" t="s">
        <v>277</v>
      </c>
    </row>
    <row r="224" spans="2:3" ht="12.75">
      <c r="B224" s="907" t="s">
        <v>495</v>
      </c>
      <c r="C224" s="910" t="s">
        <v>277</v>
      </c>
    </row>
    <row r="225" spans="2:3" ht="12.75">
      <c r="B225" s="907" t="s">
        <v>496</v>
      </c>
      <c r="C225" s="910" t="s">
        <v>277</v>
      </c>
    </row>
    <row r="226" spans="2:3" ht="12.75">
      <c r="B226" s="907" t="s">
        <v>497</v>
      </c>
      <c r="C226" s="910" t="s">
        <v>277</v>
      </c>
    </row>
    <row r="227" spans="2:3" ht="12.75">
      <c r="B227" s="907" t="s">
        <v>276</v>
      </c>
      <c r="C227" s="910" t="s">
        <v>277</v>
      </c>
    </row>
    <row r="228" spans="2:3" ht="12.75">
      <c r="B228" s="907" t="s">
        <v>498</v>
      </c>
      <c r="C228" s="910" t="s">
        <v>277</v>
      </c>
    </row>
    <row r="229" spans="2:3" ht="12.75">
      <c r="B229" s="907" t="s">
        <v>499</v>
      </c>
      <c r="C229" s="910" t="s">
        <v>277</v>
      </c>
    </row>
    <row r="230" spans="2:3" ht="12.75">
      <c r="B230" s="907" t="s">
        <v>500</v>
      </c>
      <c r="C230" s="910" t="s">
        <v>277</v>
      </c>
    </row>
    <row r="231" spans="2:3" ht="12.75">
      <c r="B231" s="907" t="s">
        <v>501</v>
      </c>
      <c r="C231" s="910" t="s">
        <v>277</v>
      </c>
    </row>
    <row r="232" spans="2:3" ht="12.75">
      <c r="B232" s="907" t="s">
        <v>502</v>
      </c>
      <c r="C232" s="910" t="s">
        <v>277</v>
      </c>
    </row>
    <row r="233" spans="2:3" ht="12.75">
      <c r="B233" s="907" t="s">
        <v>278</v>
      </c>
      <c r="C233" s="910" t="s">
        <v>277</v>
      </c>
    </row>
    <row r="234" spans="2:3" ht="12.75">
      <c r="B234" s="907" t="s">
        <v>503</v>
      </c>
      <c r="C234" s="910" t="s">
        <v>277</v>
      </c>
    </row>
    <row r="235" spans="2:3" ht="12.75">
      <c r="B235" s="907" t="s">
        <v>504</v>
      </c>
      <c r="C235" s="910" t="s">
        <v>277</v>
      </c>
    </row>
    <row r="236" spans="2:3" ht="12.75">
      <c r="B236" s="907" t="s">
        <v>505</v>
      </c>
      <c r="C236" s="910" t="s">
        <v>277</v>
      </c>
    </row>
    <row r="237" spans="2:3" ht="12.75">
      <c r="B237" s="907" t="s">
        <v>506</v>
      </c>
      <c r="C237" s="910" t="s">
        <v>277</v>
      </c>
    </row>
    <row r="238" spans="2:3" ht="12.75">
      <c r="B238" s="907" t="s">
        <v>1248</v>
      </c>
      <c r="C238" s="910" t="s">
        <v>277</v>
      </c>
    </row>
    <row r="239" spans="2:3" ht="12.75">
      <c r="B239" s="907" t="s">
        <v>279</v>
      </c>
      <c r="C239" s="910" t="s">
        <v>277</v>
      </c>
    </row>
    <row r="240" spans="2:3" ht="12.75">
      <c r="B240" s="907" t="s">
        <v>507</v>
      </c>
      <c r="C240" s="910" t="s">
        <v>277</v>
      </c>
    </row>
    <row r="241" spans="2:3" ht="12.75">
      <c r="B241" s="907" t="s">
        <v>508</v>
      </c>
      <c r="C241" s="910" t="s">
        <v>277</v>
      </c>
    </row>
    <row r="242" spans="2:3" ht="12.75">
      <c r="B242" s="907" t="s">
        <v>509</v>
      </c>
      <c r="C242" s="910" t="s">
        <v>277</v>
      </c>
    </row>
    <row r="243" spans="2:3" ht="12.75">
      <c r="B243" s="907" t="s">
        <v>510</v>
      </c>
      <c r="C243" s="910" t="s">
        <v>277</v>
      </c>
    </row>
    <row r="244" spans="2:3" ht="12.75">
      <c r="B244" s="907" t="s">
        <v>281</v>
      </c>
      <c r="C244" s="910" t="s">
        <v>277</v>
      </c>
    </row>
    <row r="245" spans="2:3" ht="12.75">
      <c r="B245" s="907" t="s">
        <v>1180</v>
      </c>
      <c r="C245" s="910" t="s">
        <v>286</v>
      </c>
    </row>
    <row r="246" spans="2:3" ht="12.75">
      <c r="B246" s="907" t="s">
        <v>491</v>
      </c>
      <c r="C246" s="910" t="s">
        <v>286</v>
      </c>
    </row>
    <row r="247" spans="2:3" ht="12.75">
      <c r="B247" s="907" t="s">
        <v>492</v>
      </c>
      <c r="C247" s="910" t="s">
        <v>286</v>
      </c>
    </row>
    <row r="248" spans="2:3" ht="12.75">
      <c r="B248" s="907" t="s">
        <v>1169</v>
      </c>
      <c r="C248" s="910" t="s">
        <v>286</v>
      </c>
    </row>
    <row r="249" spans="2:3" ht="12.75">
      <c r="B249" s="907" t="s">
        <v>433</v>
      </c>
      <c r="C249" s="910" t="s">
        <v>286</v>
      </c>
    </row>
    <row r="250" spans="2:3" ht="12.75">
      <c r="B250" s="907" t="s">
        <v>434</v>
      </c>
      <c r="C250" s="910" t="s">
        <v>286</v>
      </c>
    </row>
    <row r="251" spans="2:3" ht="12.75">
      <c r="B251" s="907" t="s">
        <v>435</v>
      </c>
      <c r="C251" s="910" t="s">
        <v>286</v>
      </c>
    </row>
    <row r="252" spans="2:3" ht="12.75">
      <c r="B252" s="907" t="s">
        <v>436</v>
      </c>
      <c r="C252" s="910" t="s">
        <v>286</v>
      </c>
    </row>
    <row r="253" spans="2:3" ht="12.75">
      <c r="B253" s="907" t="s">
        <v>437</v>
      </c>
      <c r="C253" s="910" t="s">
        <v>286</v>
      </c>
    </row>
    <row r="254" spans="2:3" ht="12.75">
      <c r="B254" s="907" t="s">
        <v>438</v>
      </c>
      <c r="C254" s="910" t="s">
        <v>286</v>
      </c>
    </row>
    <row r="255" spans="2:3" ht="12.75">
      <c r="B255" s="907" t="s">
        <v>289</v>
      </c>
      <c r="C255" s="910" t="s">
        <v>286</v>
      </c>
    </row>
    <row r="256" spans="2:3" ht="12.75">
      <c r="B256" s="907" t="s">
        <v>439</v>
      </c>
      <c r="C256" s="910" t="s">
        <v>286</v>
      </c>
    </row>
    <row r="257" spans="2:3" ht="12.75">
      <c r="B257" s="907" t="s">
        <v>440</v>
      </c>
      <c r="C257" s="910" t="s">
        <v>286</v>
      </c>
    </row>
    <row r="258" spans="2:3" ht="12.75">
      <c r="B258" s="907" t="s">
        <v>441</v>
      </c>
      <c r="C258" s="910" t="s">
        <v>286</v>
      </c>
    </row>
    <row r="259" spans="2:3" ht="12.75">
      <c r="B259" s="907" t="s">
        <v>476</v>
      </c>
      <c r="C259" s="910" t="s">
        <v>286</v>
      </c>
    </row>
    <row r="260" spans="2:3" ht="12.75">
      <c r="B260" s="907" t="s">
        <v>477</v>
      </c>
      <c r="C260" s="910" t="s">
        <v>286</v>
      </c>
    </row>
    <row r="261" spans="2:3" ht="12.75">
      <c r="B261" s="907" t="s">
        <v>478</v>
      </c>
      <c r="C261" s="910" t="s">
        <v>286</v>
      </c>
    </row>
    <row r="262" spans="2:3" ht="12.75">
      <c r="B262" s="907" t="s">
        <v>479</v>
      </c>
      <c r="C262" s="910" t="s">
        <v>286</v>
      </c>
    </row>
    <row r="263" spans="2:3" ht="12.75">
      <c r="B263" s="907" t="s">
        <v>480</v>
      </c>
      <c r="C263" s="910" t="s">
        <v>286</v>
      </c>
    </row>
    <row r="264" spans="2:3" ht="12.75">
      <c r="B264" s="907" t="s">
        <v>1241</v>
      </c>
      <c r="C264" s="910" t="s">
        <v>286</v>
      </c>
    </row>
    <row r="265" spans="2:3" ht="12.75">
      <c r="B265" s="907" t="s">
        <v>481</v>
      </c>
      <c r="C265" s="910" t="s">
        <v>286</v>
      </c>
    </row>
    <row r="266" spans="2:3" ht="12.75">
      <c r="B266" s="907" t="s">
        <v>482</v>
      </c>
      <c r="C266" s="910" t="s">
        <v>286</v>
      </c>
    </row>
    <row r="267" spans="2:3" ht="12.75">
      <c r="B267" s="907" t="s">
        <v>483</v>
      </c>
      <c r="C267" s="910" t="s">
        <v>286</v>
      </c>
    </row>
    <row r="268" spans="2:3" ht="12.75">
      <c r="B268" s="907" t="s">
        <v>484</v>
      </c>
      <c r="C268" s="910" t="s">
        <v>286</v>
      </c>
    </row>
    <row r="269" spans="2:3" ht="12.75">
      <c r="B269" s="907" t="s">
        <v>485</v>
      </c>
      <c r="C269" s="910" t="s">
        <v>286</v>
      </c>
    </row>
    <row r="270" spans="2:3" ht="12.75">
      <c r="B270" s="907" t="s">
        <v>486</v>
      </c>
      <c r="C270" s="910" t="s">
        <v>286</v>
      </c>
    </row>
    <row r="271" spans="2:3" ht="12.75">
      <c r="B271" s="907" t="s">
        <v>290</v>
      </c>
      <c r="C271" s="910" t="s">
        <v>286</v>
      </c>
    </row>
    <row r="272" spans="2:3" ht="12.75">
      <c r="B272" s="907" t="s">
        <v>487</v>
      </c>
      <c r="C272" s="910" t="s">
        <v>286</v>
      </c>
    </row>
    <row r="273" spans="2:3" ht="12.75">
      <c r="B273" s="907" t="s">
        <v>488</v>
      </c>
      <c r="C273" s="910" t="s">
        <v>286</v>
      </c>
    </row>
    <row r="274" spans="2:3" ht="12.75">
      <c r="B274" s="907" t="s">
        <v>489</v>
      </c>
      <c r="C274" s="910" t="s">
        <v>286</v>
      </c>
    </row>
    <row r="275" spans="2:3" ht="12.75">
      <c r="B275" s="907" t="s">
        <v>490</v>
      </c>
      <c r="C275" s="910" t="s">
        <v>286</v>
      </c>
    </row>
    <row r="276" spans="2:3" ht="12.75">
      <c r="B276" s="907" t="s">
        <v>291</v>
      </c>
      <c r="C276" s="910" t="s">
        <v>286</v>
      </c>
    </row>
    <row r="277" spans="2:3" ht="12.75">
      <c r="B277" s="907" t="s">
        <v>1257</v>
      </c>
      <c r="C277" s="910" t="s">
        <v>247</v>
      </c>
    </row>
    <row r="278" spans="2:3" ht="12.75">
      <c r="B278" s="907" t="s">
        <v>511</v>
      </c>
      <c r="C278" s="910" t="s">
        <v>247</v>
      </c>
    </row>
    <row r="279" spans="2:3" ht="12.75">
      <c r="B279" s="907" t="s">
        <v>512</v>
      </c>
      <c r="C279" s="910" t="s">
        <v>247</v>
      </c>
    </row>
    <row r="280" spans="2:3" ht="12.75">
      <c r="B280" s="907" t="s">
        <v>513</v>
      </c>
      <c r="C280" s="910" t="s">
        <v>247</v>
      </c>
    </row>
    <row r="281" spans="2:3" ht="12.75">
      <c r="B281" s="907" t="s">
        <v>514</v>
      </c>
      <c r="C281" s="910" t="s">
        <v>247</v>
      </c>
    </row>
    <row r="282" spans="2:3" ht="12.75">
      <c r="B282" s="907" t="s">
        <v>515</v>
      </c>
      <c r="C282" s="910" t="s">
        <v>247</v>
      </c>
    </row>
    <row r="283" spans="2:3" ht="12.75">
      <c r="B283" s="907" t="s">
        <v>246</v>
      </c>
      <c r="C283" s="910" t="s">
        <v>247</v>
      </c>
    </row>
    <row r="284" spans="2:3" ht="12.75">
      <c r="B284" s="907" t="s">
        <v>516</v>
      </c>
      <c r="C284" s="910" t="s">
        <v>247</v>
      </c>
    </row>
    <row r="285" spans="2:3" ht="12.75">
      <c r="B285" s="907" t="s">
        <v>517</v>
      </c>
      <c r="C285" s="910" t="s">
        <v>247</v>
      </c>
    </row>
    <row r="286" spans="2:3" ht="12.75">
      <c r="B286" s="907" t="s">
        <v>518</v>
      </c>
      <c r="C286" s="910" t="s">
        <v>247</v>
      </c>
    </row>
    <row r="287" spans="2:3" ht="12.75">
      <c r="B287" s="907" t="s">
        <v>519</v>
      </c>
      <c r="C287" s="910" t="s">
        <v>247</v>
      </c>
    </row>
    <row r="288" spans="2:3" ht="12.75">
      <c r="B288" s="907" t="s">
        <v>1181</v>
      </c>
      <c r="C288" s="910" t="s">
        <v>247</v>
      </c>
    </row>
    <row r="289" spans="2:3" ht="12.75">
      <c r="B289" s="907" t="s">
        <v>1239</v>
      </c>
      <c r="C289" s="910" t="s">
        <v>247</v>
      </c>
    </row>
    <row r="290" spans="2:3" ht="12.75">
      <c r="B290" s="907" t="s">
        <v>520</v>
      </c>
      <c r="C290" s="910" t="s">
        <v>247</v>
      </c>
    </row>
    <row r="291" spans="2:3" ht="12.75">
      <c r="B291" s="907" t="s">
        <v>521</v>
      </c>
      <c r="C291" s="910" t="s">
        <v>247</v>
      </c>
    </row>
    <row r="292" spans="2:3" ht="12.75">
      <c r="B292" s="907" t="s">
        <v>522</v>
      </c>
      <c r="C292" s="910" t="s">
        <v>247</v>
      </c>
    </row>
    <row r="293" spans="2:3" ht="12.75">
      <c r="B293" s="907" t="s">
        <v>523</v>
      </c>
      <c r="C293" s="910" t="s">
        <v>247</v>
      </c>
    </row>
    <row r="294" spans="2:3" ht="12.75">
      <c r="B294" s="907" t="s">
        <v>267</v>
      </c>
      <c r="C294" s="910" t="s">
        <v>247</v>
      </c>
    </row>
    <row r="295" spans="2:3" ht="12.75">
      <c r="B295" s="907" t="s">
        <v>524</v>
      </c>
      <c r="C295" s="910" t="s">
        <v>247</v>
      </c>
    </row>
    <row r="296" spans="2:3" ht="12.75">
      <c r="B296" s="907" t="s">
        <v>525</v>
      </c>
      <c r="C296" s="910" t="s">
        <v>247</v>
      </c>
    </row>
    <row r="297" spans="2:3" ht="12.75">
      <c r="B297" s="907" t="s">
        <v>526</v>
      </c>
      <c r="C297" s="910" t="s">
        <v>247</v>
      </c>
    </row>
    <row r="298" spans="2:3" ht="12.75">
      <c r="B298" s="907" t="s">
        <v>527</v>
      </c>
      <c r="C298" s="910" t="s">
        <v>247</v>
      </c>
    </row>
    <row r="299" spans="2:3" ht="12.75">
      <c r="B299" s="907" t="s">
        <v>528</v>
      </c>
      <c r="C299" s="910" t="s">
        <v>247</v>
      </c>
    </row>
    <row r="300" spans="2:3" ht="12.75">
      <c r="B300" s="907" t="s">
        <v>529</v>
      </c>
      <c r="C300" s="910" t="s">
        <v>247</v>
      </c>
    </row>
    <row r="301" spans="2:3" ht="12.75">
      <c r="B301" s="907" t="s">
        <v>530</v>
      </c>
      <c r="C301" s="910" t="s">
        <v>247</v>
      </c>
    </row>
    <row r="302" spans="2:3" ht="12.75">
      <c r="B302" s="907" t="s">
        <v>280</v>
      </c>
      <c r="C302" s="910" t="s">
        <v>247</v>
      </c>
    </row>
    <row r="303" spans="2:3" ht="12.75">
      <c r="B303" s="907" t="s">
        <v>531</v>
      </c>
      <c r="C303" s="910" t="s">
        <v>247</v>
      </c>
    </row>
    <row r="304" spans="2:3" ht="12.75">
      <c r="B304" s="907" t="s">
        <v>532</v>
      </c>
      <c r="C304" s="910" t="s">
        <v>247</v>
      </c>
    </row>
    <row r="305" spans="2:3" ht="12.75">
      <c r="B305" s="907" t="s">
        <v>533</v>
      </c>
      <c r="C305" s="910" t="s">
        <v>247</v>
      </c>
    </row>
    <row r="306" spans="2:3" ht="12.75">
      <c r="B306" s="907" t="s">
        <v>288</v>
      </c>
      <c r="C306" s="910" t="s">
        <v>247</v>
      </c>
    </row>
    <row r="307" spans="2:3">
      <c r="C307" s="912">
        <f>COUNTA(C29:C306)</f>
        <v>278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A130" zoomScaleNormal="100" zoomScaleSheetLayoutView="100" workbookViewId="0">
      <selection activeCell="E124" sqref="E124"/>
    </sheetView>
  </sheetViews>
  <sheetFormatPr defaultRowHeight="11.25"/>
  <cols>
    <col min="1" max="1" width="37.5703125" style="813" customWidth="1"/>
    <col min="2" max="2" width="7.7109375" style="815" customWidth="1"/>
    <col min="3" max="3" width="47.85546875" style="814" customWidth="1"/>
    <col min="4" max="4" width="20" style="813" hidden="1" customWidth="1"/>
    <col min="5" max="5" width="43.42578125" style="813" customWidth="1"/>
    <col min="6" max="16384" width="9.140625" style="813"/>
  </cols>
  <sheetData>
    <row r="1" spans="1:5" ht="35.25" customHeight="1">
      <c r="A1" s="823" t="s">
        <v>1225</v>
      </c>
      <c r="B1" s="825"/>
      <c r="C1" s="824" t="s">
        <v>1224</v>
      </c>
      <c r="E1" s="823" t="s">
        <v>1223</v>
      </c>
    </row>
    <row r="2" spans="1:5">
      <c r="A2" s="813" t="str">
        <f>B2&amp;" - "&amp;C2</f>
        <v>Vote 1 - Legislative Authority</v>
      </c>
      <c r="B2" s="821" t="s">
        <v>992</v>
      </c>
      <c r="C2" s="819" t="s">
        <v>1258</v>
      </c>
      <c r="E2" s="822"/>
    </row>
    <row r="3" spans="1:5">
      <c r="A3" s="813" t="str">
        <f>B13&amp;" - "&amp; C13</f>
        <v>Vote 2 - Office of the Municipal Manager</v>
      </c>
      <c r="B3" s="818">
        <v>1.1000000000000001</v>
      </c>
      <c r="C3" s="817" t="s">
        <v>1259</v>
      </c>
      <c r="D3" s="813" t="str">
        <f t="shared" ref="D3:D12" si="0">CONCATENATE(B3, " - ", C3)</f>
        <v>1.1 - Office of the Major</v>
      </c>
      <c r="E3" s="816" t="s">
        <v>1319</v>
      </c>
    </row>
    <row r="4" spans="1:5">
      <c r="A4" s="813" t="str">
        <f>B24&amp;" - "&amp;C24</f>
        <v>Vote 3 - Corporate Services</v>
      </c>
      <c r="B4" s="818">
        <v>1.2</v>
      </c>
      <c r="C4" s="817" t="s">
        <v>1260</v>
      </c>
      <c r="D4" s="813" t="str">
        <f t="shared" si="0"/>
        <v>1.2 - Office of the Speaker</v>
      </c>
      <c r="E4" s="816" t="s">
        <v>1320</v>
      </c>
    </row>
    <row r="5" spans="1:5">
      <c r="A5" s="813" t="str">
        <f>B35&amp;" - "&amp;C35</f>
        <v>Vote 4 - Financial Services</v>
      </c>
      <c r="B5" s="818">
        <v>1.3</v>
      </c>
      <c r="C5" s="817" t="s">
        <v>1261</v>
      </c>
      <c r="D5" s="813" t="str">
        <f t="shared" si="0"/>
        <v>1.3 - Council General</v>
      </c>
      <c r="E5" s="816" t="s">
        <v>1321</v>
      </c>
    </row>
    <row r="6" spans="1:5">
      <c r="A6" s="813" t="str">
        <f>B46&amp;" - "&amp;C46</f>
        <v>Vote 5 - Municipal Infrastructure</v>
      </c>
      <c r="B6" s="818">
        <v>1.4</v>
      </c>
      <c r="C6" s="817" t="s">
        <v>1262</v>
      </c>
      <c r="D6" s="813" t="str">
        <f t="shared" si="0"/>
        <v>1.4 - Whippery Office</v>
      </c>
      <c r="E6" s="816" t="s">
        <v>1322</v>
      </c>
    </row>
    <row r="7" spans="1:5">
      <c r="A7" s="813" t="str">
        <f>B57&amp;" - "&amp;C57</f>
        <v>Vote 6 - Community Services</v>
      </c>
      <c r="B7" s="818">
        <v>1.5</v>
      </c>
      <c r="C7" s="817" t="s">
        <v>1263</v>
      </c>
      <c r="D7" s="813" t="str">
        <f t="shared" si="0"/>
        <v>1.5 - Gender Equality &amp; Disability</v>
      </c>
      <c r="E7" s="816" t="s">
        <v>1323</v>
      </c>
    </row>
    <row r="8" spans="1:5">
      <c r="A8" s="813" t="str">
        <f>B68&amp;" - "&amp;C68</f>
        <v>Vote 7 - Public Safety</v>
      </c>
      <c r="B8" s="818">
        <v>1.6</v>
      </c>
      <c r="C8" s="817" t="s">
        <v>1264</v>
      </c>
      <c r="D8" s="813" t="str">
        <f t="shared" si="0"/>
        <v>1.6 - Speaker</v>
      </c>
      <c r="E8" s="816" t="s">
        <v>1324</v>
      </c>
    </row>
    <row r="9" spans="1:5">
      <c r="A9" s="813" t="str">
        <f>B79&amp;" - "&amp;C79</f>
        <v>Vote 8 - Parks, Sports &amp; Recreation</v>
      </c>
      <c r="B9" s="818">
        <v>1.7</v>
      </c>
      <c r="C9" s="817" t="s">
        <v>1265</v>
      </c>
      <c r="D9" s="813" t="str">
        <f t="shared" si="0"/>
        <v>1.7 - Mayoral committee</v>
      </c>
      <c r="E9" s="816" t="s">
        <v>1325</v>
      </c>
    </row>
    <row r="10" spans="1:5">
      <c r="A10" s="813" t="str">
        <f>B90&amp;" - "&amp;C90</f>
        <v>Vote 9 - LED &amp; Tourism</v>
      </c>
      <c r="B10" s="818">
        <v>1.8</v>
      </c>
      <c r="C10" s="817" t="s">
        <v>1266</v>
      </c>
      <c r="D10" s="813" t="str">
        <f t="shared" si="0"/>
        <v>1.8 - Executive Major</v>
      </c>
      <c r="E10" s="816" t="s">
        <v>1326</v>
      </c>
    </row>
    <row r="11" spans="1:5">
      <c r="A11" s="813" t="str">
        <f>B101&amp;" - "&amp;C101</f>
        <v>Vote 10 - Housing Spatial Development &amp; Planning</v>
      </c>
      <c r="B11" s="818">
        <v>1.9</v>
      </c>
      <c r="C11" s="817"/>
      <c r="D11" s="813" t="str">
        <f t="shared" si="0"/>
        <v xml:space="preserve">1.9 - </v>
      </c>
      <c r="E11" s="816"/>
    </row>
    <row r="12" spans="1:5">
      <c r="A12" s="813" t="str">
        <f>B112&amp;" - "&amp;C112</f>
        <v>Vote 11 - Water &amp; Sanitation</v>
      </c>
      <c r="B12" s="818" t="s">
        <v>1222</v>
      </c>
      <c r="C12" s="817"/>
      <c r="D12" s="813" t="str">
        <f t="shared" si="0"/>
        <v xml:space="preserve">1.10 - </v>
      </c>
      <c r="E12" s="816"/>
    </row>
    <row r="13" spans="1:5">
      <c r="A13" s="813" t="str">
        <f>B123&amp;" - "&amp;C123</f>
        <v>Vote 12 - Water</v>
      </c>
      <c r="B13" s="821" t="s">
        <v>991</v>
      </c>
      <c r="C13" s="819" t="s">
        <v>1267</v>
      </c>
      <c r="E13" s="822"/>
    </row>
    <row r="14" spans="1:5">
      <c r="A14" s="813" t="str">
        <f>B134&amp;" - "&amp;C134</f>
        <v xml:space="preserve">Vote 13 - </v>
      </c>
      <c r="B14" s="818">
        <v>2.1</v>
      </c>
      <c r="C14" s="817" t="s">
        <v>1268</v>
      </c>
      <c r="D14" s="813" t="str">
        <f t="shared" ref="D14:D23" si="1">CONCATENATE(B14, " - ", C14)</f>
        <v>2.1 - Municipal Manager Administration</v>
      </c>
      <c r="E14" s="816" t="s">
        <v>1327</v>
      </c>
    </row>
    <row r="15" spans="1:5">
      <c r="A15" s="813" t="str">
        <f>B145&amp;" - "&amp;C145</f>
        <v xml:space="preserve">Vote 14 - </v>
      </c>
      <c r="B15" s="818">
        <v>2.2000000000000002</v>
      </c>
      <c r="C15" s="817" t="s">
        <v>200</v>
      </c>
      <c r="D15" s="813" t="str">
        <f t="shared" si="1"/>
        <v>2.2 - Information Technology</v>
      </c>
      <c r="E15" s="816" t="s">
        <v>1328</v>
      </c>
    </row>
    <row r="16" spans="1:5">
      <c r="A16" s="813" t="str">
        <f>B156&amp;" - "&amp;C156</f>
        <v xml:space="preserve">Vote 15 - </v>
      </c>
      <c r="B16" s="818">
        <v>2.2999999999999998</v>
      </c>
      <c r="C16" s="817" t="s">
        <v>1269</v>
      </c>
      <c r="D16" s="813" t="str">
        <f t="shared" si="1"/>
        <v>2.3 - Internal Audit</v>
      </c>
      <c r="E16" s="816" t="s">
        <v>1329</v>
      </c>
    </row>
    <row r="17" spans="1:5">
      <c r="B17" s="818">
        <v>2.4</v>
      </c>
      <c r="C17" s="817" t="s">
        <v>1270</v>
      </c>
      <c r="D17" s="813" t="str">
        <f t="shared" si="1"/>
        <v>2.4 - Communications</v>
      </c>
      <c r="E17" s="816" t="s">
        <v>1330</v>
      </c>
    </row>
    <row r="18" spans="1:5">
      <c r="B18" s="818">
        <v>2.5</v>
      </c>
      <c r="C18" s="817" t="s">
        <v>1271</v>
      </c>
      <c r="D18" s="813" t="str">
        <f t="shared" si="1"/>
        <v>2.5 - Risk Management</v>
      </c>
      <c r="E18" s="816" t="s">
        <v>1331</v>
      </c>
    </row>
    <row r="19" spans="1:5">
      <c r="B19" s="818">
        <v>2.6</v>
      </c>
      <c r="C19" s="817" t="s">
        <v>1272</v>
      </c>
      <c r="D19" s="813" t="str">
        <f t="shared" si="1"/>
        <v>2.6 - Security</v>
      </c>
      <c r="E19" s="816" t="s">
        <v>1332</v>
      </c>
    </row>
    <row r="20" spans="1:5">
      <c r="B20" s="818">
        <v>2.7</v>
      </c>
      <c r="C20" s="817" t="s">
        <v>198</v>
      </c>
      <c r="D20" s="813" t="str">
        <f t="shared" si="1"/>
        <v>2.7 - Municipal Manager</v>
      </c>
      <c r="E20" s="816" t="s">
        <v>1333</v>
      </c>
    </row>
    <row r="21" spans="1:5">
      <c r="A21" s="822"/>
      <c r="B21" s="818">
        <v>2.8</v>
      </c>
      <c r="C21" s="817"/>
      <c r="D21" s="813" t="str">
        <f t="shared" si="1"/>
        <v xml:space="preserve">2.8 - </v>
      </c>
      <c r="E21" s="816"/>
    </row>
    <row r="22" spans="1:5">
      <c r="B22" s="818">
        <v>2.9</v>
      </c>
      <c r="C22" s="817"/>
      <c r="D22" s="813" t="str">
        <f t="shared" si="1"/>
        <v xml:space="preserve">2.9 - </v>
      </c>
      <c r="E22" s="816"/>
    </row>
    <row r="23" spans="1:5">
      <c r="B23" s="818" t="s">
        <v>1221</v>
      </c>
      <c r="C23" s="817"/>
      <c r="D23" s="813" t="str">
        <f t="shared" si="1"/>
        <v xml:space="preserve">2.10 - </v>
      </c>
      <c r="E23" s="816"/>
    </row>
    <row r="24" spans="1:5">
      <c r="B24" s="821" t="s">
        <v>990</v>
      </c>
      <c r="C24" s="819" t="s">
        <v>1273</v>
      </c>
      <c r="E24" s="816"/>
    </row>
    <row r="25" spans="1:5">
      <c r="B25" s="818">
        <v>3.1</v>
      </c>
      <c r="C25" s="817" t="s">
        <v>1274</v>
      </c>
      <c r="D25" s="813" t="str">
        <f t="shared" ref="D25:D34" si="2">CONCATENATE(B25, " - ", C25)</f>
        <v>3.1 - Corporate Administration</v>
      </c>
      <c r="E25" s="816" t="s">
        <v>1334</v>
      </c>
    </row>
    <row r="26" spans="1:5">
      <c r="B26" s="818">
        <v>3.2</v>
      </c>
      <c r="C26" s="817" t="s">
        <v>199</v>
      </c>
      <c r="D26" s="813" t="str">
        <f t="shared" si="2"/>
        <v>3.2 - Human Resources</v>
      </c>
      <c r="E26" s="816" t="s">
        <v>1335</v>
      </c>
    </row>
    <row r="27" spans="1:5">
      <c r="B27" s="818">
        <v>3.3</v>
      </c>
      <c r="C27" s="817" t="s">
        <v>1275</v>
      </c>
      <c r="D27" s="813" t="str">
        <f t="shared" si="2"/>
        <v>3.3 - Offices &amp; Townhalls</v>
      </c>
      <c r="E27" s="816" t="s">
        <v>1336</v>
      </c>
    </row>
    <row r="28" spans="1:5">
      <c r="B28" s="818">
        <v>3.4</v>
      </c>
      <c r="C28" s="817" t="s">
        <v>1276</v>
      </c>
      <c r="D28" s="813" t="str">
        <f t="shared" si="2"/>
        <v>3.4 - Director Corporate</v>
      </c>
      <c r="E28" s="816" t="s">
        <v>1337</v>
      </c>
    </row>
    <row r="29" spans="1:5">
      <c r="B29" s="818">
        <v>3.5</v>
      </c>
      <c r="C29" s="817"/>
      <c r="D29" s="813" t="str">
        <f t="shared" si="2"/>
        <v xml:space="preserve">3.5 - </v>
      </c>
      <c r="E29" s="816"/>
    </row>
    <row r="30" spans="1:5">
      <c r="B30" s="818">
        <v>3.6</v>
      </c>
      <c r="C30" s="817"/>
      <c r="D30" s="813" t="str">
        <f t="shared" si="2"/>
        <v xml:space="preserve">3.6 - </v>
      </c>
      <c r="E30" s="816"/>
    </row>
    <row r="31" spans="1:5">
      <c r="B31" s="818">
        <v>3.7</v>
      </c>
      <c r="C31" s="817"/>
      <c r="D31" s="813" t="str">
        <f t="shared" si="2"/>
        <v xml:space="preserve">3.7 - </v>
      </c>
      <c r="E31" s="816"/>
    </row>
    <row r="32" spans="1:5">
      <c r="B32" s="818">
        <v>3.8</v>
      </c>
      <c r="C32" s="817"/>
      <c r="D32" s="813" t="str">
        <f t="shared" si="2"/>
        <v xml:space="preserve">3.8 - </v>
      </c>
      <c r="E32" s="816"/>
    </row>
    <row r="33" spans="2:5">
      <c r="B33" s="818">
        <v>3.9</v>
      </c>
      <c r="C33" s="817"/>
      <c r="D33" s="813" t="str">
        <f t="shared" si="2"/>
        <v xml:space="preserve">3.9 - </v>
      </c>
      <c r="E33" s="816"/>
    </row>
    <row r="34" spans="2:5">
      <c r="B34" s="818" t="s">
        <v>1220</v>
      </c>
      <c r="C34" s="817"/>
      <c r="D34" s="813" t="str">
        <f t="shared" si="2"/>
        <v xml:space="preserve">3.10 - </v>
      </c>
      <c r="E34" s="816"/>
    </row>
    <row r="35" spans="2:5">
      <c r="B35" s="821" t="s">
        <v>989</v>
      </c>
      <c r="C35" s="819" t="s">
        <v>1277</v>
      </c>
      <c r="E35" s="816"/>
    </row>
    <row r="36" spans="2:5">
      <c r="B36" s="818">
        <v>4.0999999999999996</v>
      </c>
      <c r="C36" s="817" t="s">
        <v>1278</v>
      </c>
      <c r="D36" s="813" t="str">
        <f t="shared" ref="D36:D45" si="3">CONCATENATE(B36, " - ", C36)</f>
        <v>4.1 - Budget &amp; Reporting</v>
      </c>
      <c r="E36" s="816" t="s">
        <v>1338</v>
      </c>
    </row>
    <row r="37" spans="2:5">
      <c r="B37" s="818">
        <v>4.2</v>
      </c>
      <c r="C37" s="817" t="s">
        <v>1279</v>
      </c>
      <c r="D37" s="813" t="str">
        <f t="shared" si="3"/>
        <v>4.2 - Management</v>
      </c>
      <c r="E37" s="816" t="s">
        <v>1339</v>
      </c>
    </row>
    <row r="38" spans="2:5">
      <c r="B38" s="818">
        <v>4.3</v>
      </c>
      <c r="C38" s="817" t="s">
        <v>1280</v>
      </c>
      <c r="D38" s="813" t="str">
        <f t="shared" si="3"/>
        <v>4.3 - Financial Accounting</v>
      </c>
      <c r="E38" s="816" t="s">
        <v>1340</v>
      </c>
    </row>
    <row r="39" spans="2:5">
      <c r="B39" s="818">
        <v>4.4000000000000004</v>
      </c>
      <c r="C39" s="817" t="s">
        <v>1281</v>
      </c>
      <c r="D39" s="813" t="str">
        <f t="shared" si="3"/>
        <v>4.4 - Income</v>
      </c>
      <c r="E39" s="816" t="s">
        <v>1341</v>
      </c>
    </row>
    <row r="40" spans="2:5">
      <c r="B40" s="818">
        <v>4.5</v>
      </c>
      <c r="C40" s="817" t="s">
        <v>1282</v>
      </c>
      <c r="D40" s="813" t="str">
        <f t="shared" si="3"/>
        <v>4.5 - Expenditure</v>
      </c>
      <c r="E40" s="816" t="s">
        <v>1342</v>
      </c>
    </row>
    <row r="41" spans="2:5">
      <c r="B41" s="818">
        <v>4.5999999999999996</v>
      </c>
      <c r="C41" s="817" t="s">
        <v>546</v>
      </c>
      <c r="D41" s="813" t="str">
        <f t="shared" si="3"/>
        <v>4.6 - Revenue Management</v>
      </c>
      <c r="E41" s="816" t="s">
        <v>1343</v>
      </c>
    </row>
    <row r="42" spans="2:5">
      <c r="B42" s="818">
        <v>4.7</v>
      </c>
      <c r="C42" s="817" t="s">
        <v>1283</v>
      </c>
      <c r="D42" s="813" t="str">
        <f t="shared" si="3"/>
        <v>4.7 - Finance Interns</v>
      </c>
      <c r="E42" s="816" t="s">
        <v>1344</v>
      </c>
    </row>
    <row r="43" spans="2:5">
      <c r="B43" s="818">
        <v>4.8</v>
      </c>
      <c r="C43" s="817" t="s">
        <v>473</v>
      </c>
      <c r="D43" s="813" t="str">
        <f t="shared" si="3"/>
        <v>4.8 - Chief Financial Officer</v>
      </c>
      <c r="E43" s="816" t="s">
        <v>1345</v>
      </c>
    </row>
    <row r="44" spans="2:5">
      <c r="B44" s="818">
        <v>4.9000000000000004</v>
      </c>
      <c r="C44" s="817"/>
      <c r="D44" s="813" t="str">
        <f t="shared" si="3"/>
        <v xml:space="preserve">4.9 - </v>
      </c>
      <c r="E44" s="816"/>
    </row>
    <row r="45" spans="2:5">
      <c r="B45" s="818" t="s">
        <v>1219</v>
      </c>
      <c r="C45" s="817"/>
      <c r="D45" s="813" t="str">
        <f t="shared" si="3"/>
        <v xml:space="preserve">4.10 - </v>
      </c>
      <c r="E45" s="816"/>
    </row>
    <row r="46" spans="2:5">
      <c r="B46" s="821" t="s">
        <v>988</v>
      </c>
      <c r="C46" s="819" t="s">
        <v>1284</v>
      </c>
      <c r="E46" s="816"/>
    </row>
    <row r="47" spans="2:5">
      <c r="B47" s="818">
        <v>5.0999999999999996</v>
      </c>
      <c r="C47" s="817" t="s">
        <v>1285</v>
      </c>
      <c r="D47" s="813" t="str">
        <f t="shared" ref="D47:D56" si="4">CONCATENATE(B47, " - ", C47)</f>
        <v>5.1 - Vihicle/ Workshop Maintenance</v>
      </c>
      <c r="E47" s="816" t="s">
        <v>1346</v>
      </c>
    </row>
    <row r="48" spans="2:5">
      <c r="B48" s="818">
        <v>5.2</v>
      </c>
      <c r="C48" s="817" t="s">
        <v>770</v>
      </c>
      <c r="D48" s="813" t="str">
        <f t="shared" si="4"/>
        <v>5.2 - Electricity</v>
      </c>
      <c r="E48" s="816" t="s">
        <v>1347</v>
      </c>
    </row>
    <row r="49" spans="2:5">
      <c r="B49" s="818">
        <v>5.3</v>
      </c>
      <c r="C49" s="817" t="s">
        <v>1286</v>
      </c>
      <c r="D49" s="813" t="str">
        <f t="shared" si="4"/>
        <v>5.3 - Adminstration</v>
      </c>
      <c r="E49" s="816" t="s">
        <v>1348</v>
      </c>
    </row>
    <row r="50" spans="2:5">
      <c r="B50" s="818">
        <v>5.4</v>
      </c>
      <c r="C50" s="817" t="s">
        <v>1287</v>
      </c>
      <c r="D50" s="813" t="str">
        <f t="shared" si="4"/>
        <v>5.4 - Maluti Water</v>
      </c>
      <c r="E50" s="816" t="s">
        <v>1349</v>
      </c>
    </row>
    <row r="51" spans="2:5">
      <c r="B51" s="818">
        <v>5.5</v>
      </c>
      <c r="C51" s="817" t="s">
        <v>1288</v>
      </c>
      <c r="D51" s="813" t="str">
        <f t="shared" si="4"/>
        <v>5.5 - PMU</v>
      </c>
      <c r="E51" s="816" t="s">
        <v>1350</v>
      </c>
    </row>
    <row r="52" spans="2:5">
      <c r="B52" s="818">
        <v>5.6</v>
      </c>
      <c r="C52" s="817" t="s">
        <v>1289</v>
      </c>
      <c r="D52" s="813" t="str">
        <f t="shared" si="4"/>
        <v>5.6 - Director Municipal Infrastructure</v>
      </c>
      <c r="E52" s="816" t="s">
        <v>1351</v>
      </c>
    </row>
    <row r="53" spans="2:5">
      <c r="B53" s="818">
        <v>5.7</v>
      </c>
      <c r="C53" s="817" t="s">
        <v>1290</v>
      </c>
      <c r="D53" s="813" t="str">
        <f t="shared" si="4"/>
        <v>5.7 - Refuse Removal &amp; Dumping Site</v>
      </c>
      <c r="E53" s="816" t="s">
        <v>1352</v>
      </c>
    </row>
    <row r="54" spans="2:5">
      <c r="B54" s="818">
        <v>5.8</v>
      </c>
      <c r="C54" s="817"/>
      <c r="D54" s="813" t="str">
        <f t="shared" si="4"/>
        <v xml:space="preserve">5.8 - </v>
      </c>
      <c r="E54" s="816"/>
    </row>
    <row r="55" spans="2:5">
      <c r="B55" s="818">
        <v>5.9</v>
      </c>
      <c r="C55" s="817"/>
      <c r="D55" s="813" t="str">
        <f t="shared" si="4"/>
        <v xml:space="preserve">5.9 - </v>
      </c>
      <c r="E55" s="816"/>
    </row>
    <row r="56" spans="2:5">
      <c r="B56" s="818" t="s">
        <v>1218</v>
      </c>
      <c r="C56" s="817"/>
      <c r="D56" s="813" t="str">
        <f t="shared" si="4"/>
        <v xml:space="preserve">5.10 - </v>
      </c>
      <c r="E56" s="816"/>
    </row>
    <row r="57" spans="2:5">
      <c r="B57" s="821" t="s">
        <v>987</v>
      </c>
      <c r="C57" s="819" t="s">
        <v>1291</v>
      </c>
      <c r="E57" s="816"/>
    </row>
    <row r="58" spans="2:5">
      <c r="B58" s="818">
        <v>6.1</v>
      </c>
      <c r="C58" s="817" t="s">
        <v>1292</v>
      </c>
      <c r="D58" s="813" t="str">
        <f t="shared" ref="D58:D67" si="5">CONCATENATE(B58, " - ", C58)</f>
        <v>6.1 - Administration</v>
      </c>
      <c r="E58" s="816" t="s">
        <v>1353</v>
      </c>
    </row>
    <row r="59" spans="2:5">
      <c r="B59" s="818">
        <v>6.2</v>
      </c>
      <c r="C59" s="817" t="s">
        <v>1293</v>
      </c>
      <c r="D59" s="813" t="str">
        <f t="shared" si="5"/>
        <v>6.2 - Social Services</v>
      </c>
      <c r="E59" s="816" t="s">
        <v>1354</v>
      </c>
    </row>
    <row r="60" spans="2:5">
      <c r="B60" s="818">
        <v>6.3</v>
      </c>
      <c r="C60" s="817" t="s">
        <v>697</v>
      </c>
      <c r="D60" s="813" t="str">
        <f t="shared" si="5"/>
        <v>6.3 - Libraries</v>
      </c>
      <c r="E60" s="816" t="s">
        <v>1355</v>
      </c>
    </row>
    <row r="61" spans="2:5">
      <c r="B61" s="818">
        <v>6.4</v>
      </c>
      <c r="C61" s="817" t="s">
        <v>1294</v>
      </c>
      <c r="D61" s="813" t="str">
        <f t="shared" si="5"/>
        <v>6.4 - Cemetries</v>
      </c>
      <c r="E61" s="816" t="s">
        <v>1356</v>
      </c>
    </row>
    <row r="62" spans="2:5">
      <c r="B62" s="818">
        <v>6.5</v>
      </c>
      <c r="C62" s="817" t="s">
        <v>1295</v>
      </c>
      <c r="D62" s="813" t="str">
        <f t="shared" si="5"/>
        <v>6.5 - Director Community</v>
      </c>
      <c r="E62" s="816" t="s">
        <v>1357</v>
      </c>
    </row>
    <row r="63" spans="2:5">
      <c r="B63" s="818">
        <v>6.6</v>
      </c>
      <c r="C63" s="817"/>
      <c r="D63" s="813" t="str">
        <f t="shared" si="5"/>
        <v xml:space="preserve">6.6 - </v>
      </c>
      <c r="E63" s="816"/>
    </row>
    <row r="64" spans="2:5">
      <c r="B64" s="818">
        <v>6.7</v>
      </c>
      <c r="C64" s="817"/>
      <c r="D64" s="813" t="str">
        <f t="shared" si="5"/>
        <v xml:space="preserve">6.7 - </v>
      </c>
      <c r="E64" s="816"/>
    </row>
    <row r="65" spans="2:5">
      <c r="B65" s="818">
        <v>6.8</v>
      </c>
      <c r="C65" s="817"/>
      <c r="D65" s="813" t="str">
        <f t="shared" si="5"/>
        <v xml:space="preserve">6.8 - </v>
      </c>
      <c r="E65" s="816"/>
    </row>
    <row r="66" spans="2:5">
      <c r="B66" s="818">
        <v>6.9</v>
      </c>
      <c r="C66" s="817"/>
      <c r="D66" s="813" t="str">
        <f t="shared" si="5"/>
        <v xml:space="preserve">6.9 - </v>
      </c>
      <c r="E66" s="816"/>
    </row>
    <row r="67" spans="2:5">
      <c r="B67" s="818" t="s">
        <v>1217</v>
      </c>
      <c r="C67" s="817"/>
      <c r="D67" s="813" t="str">
        <f t="shared" si="5"/>
        <v xml:space="preserve">6.10 - </v>
      </c>
      <c r="E67" s="816"/>
    </row>
    <row r="68" spans="2:5">
      <c r="B68" s="820" t="s">
        <v>986</v>
      </c>
      <c r="C68" s="819" t="s">
        <v>1296</v>
      </c>
      <c r="E68" s="816"/>
    </row>
    <row r="69" spans="2:5">
      <c r="B69" s="818">
        <v>7.1</v>
      </c>
      <c r="C69" s="817" t="s">
        <v>1297</v>
      </c>
      <c r="D69" s="813" t="str">
        <f t="shared" ref="D69:D78" si="6">CONCATENATE(B69, " - ", C69)</f>
        <v>7.1 - Disaster Management</v>
      </c>
      <c r="E69" s="816" t="s">
        <v>1358</v>
      </c>
    </row>
    <row r="70" spans="2:5">
      <c r="B70" s="818">
        <v>7.2</v>
      </c>
      <c r="C70" s="817" t="s">
        <v>1298</v>
      </c>
      <c r="D70" s="813" t="str">
        <f t="shared" si="6"/>
        <v>7.2 - Traffic Control</v>
      </c>
      <c r="E70" s="816" t="s">
        <v>1359</v>
      </c>
    </row>
    <row r="71" spans="2:5">
      <c r="B71" s="818">
        <v>7.3</v>
      </c>
      <c r="C71" s="817" t="s">
        <v>1299</v>
      </c>
      <c r="D71" s="813" t="str">
        <f t="shared" si="6"/>
        <v>7.3 - Fire Protection</v>
      </c>
      <c r="E71" s="816" t="s">
        <v>1360</v>
      </c>
    </row>
    <row r="72" spans="2:5">
      <c r="B72" s="818">
        <v>7.4</v>
      </c>
      <c r="C72" s="817" t="s">
        <v>1300</v>
      </c>
      <c r="D72" s="813" t="str">
        <f t="shared" si="6"/>
        <v>7.4 - Public Safety &amp; Transport</v>
      </c>
      <c r="E72" s="816" t="s">
        <v>1361</v>
      </c>
    </row>
    <row r="73" spans="2:5">
      <c r="B73" s="818">
        <v>7.5</v>
      </c>
      <c r="C73" s="817" t="s">
        <v>1301</v>
      </c>
      <c r="D73" s="813" t="str">
        <f t="shared" si="6"/>
        <v>7.5 - Security Guards</v>
      </c>
      <c r="E73" s="816" t="s">
        <v>1362</v>
      </c>
    </row>
    <row r="74" spans="2:5">
      <c r="B74" s="818">
        <v>7.6</v>
      </c>
      <c r="C74" s="817" t="s">
        <v>1302</v>
      </c>
      <c r="D74" s="813" t="str">
        <f t="shared" si="6"/>
        <v>7.6 - Director Public Safety</v>
      </c>
      <c r="E74" s="816" t="s">
        <v>1363</v>
      </c>
    </row>
    <row r="75" spans="2:5">
      <c r="B75" s="818">
        <v>7.7</v>
      </c>
      <c r="C75" s="817" t="s">
        <v>1303</v>
      </c>
      <c r="D75" s="813" t="str">
        <f t="shared" si="6"/>
        <v>7.7 - Roads and stormwater</v>
      </c>
      <c r="E75" s="816" t="s">
        <v>1364</v>
      </c>
    </row>
    <row r="76" spans="2:5">
      <c r="B76" s="818">
        <v>7.8</v>
      </c>
      <c r="C76" s="817"/>
      <c r="D76" s="813" t="str">
        <f t="shared" si="6"/>
        <v xml:space="preserve">7.8 - </v>
      </c>
      <c r="E76" s="816"/>
    </row>
    <row r="77" spans="2:5">
      <c r="B77" s="818">
        <v>7.9</v>
      </c>
      <c r="C77" s="817"/>
      <c r="D77" s="813" t="str">
        <f t="shared" si="6"/>
        <v xml:space="preserve">7.9 - </v>
      </c>
      <c r="E77" s="816"/>
    </row>
    <row r="78" spans="2:5">
      <c r="B78" s="818" t="s">
        <v>1216</v>
      </c>
      <c r="C78" s="817"/>
      <c r="D78" s="813" t="str">
        <f t="shared" si="6"/>
        <v xml:space="preserve">7.10 - </v>
      </c>
      <c r="E78" s="816"/>
    </row>
    <row r="79" spans="2:5">
      <c r="B79" s="820" t="s">
        <v>985</v>
      </c>
      <c r="C79" s="819" t="s">
        <v>1304</v>
      </c>
      <c r="E79" s="816"/>
    </row>
    <row r="80" spans="2:5">
      <c r="B80" s="818">
        <v>8.1</v>
      </c>
      <c r="C80" s="817" t="s">
        <v>1292</v>
      </c>
      <c r="D80" s="813" t="str">
        <f t="shared" ref="D80:D89" si="7">CONCATENATE(B80, " - ", C80)</f>
        <v>8.1 - Administration</v>
      </c>
      <c r="E80" s="816" t="s">
        <v>1365</v>
      </c>
    </row>
    <row r="81" spans="2:5">
      <c r="B81" s="818">
        <v>8.1999999999999993</v>
      </c>
      <c r="C81" s="817" t="s">
        <v>1305</v>
      </c>
      <c r="D81" s="813" t="str">
        <f t="shared" si="7"/>
        <v>8.2 - Director Parks</v>
      </c>
      <c r="E81" s="816" t="s">
        <v>1366</v>
      </c>
    </row>
    <row r="82" spans="2:5">
      <c r="B82" s="818">
        <v>8.3000000000000007</v>
      </c>
      <c r="C82" s="817"/>
      <c r="D82" s="813" t="str">
        <f t="shared" si="7"/>
        <v xml:space="preserve">8.3 - </v>
      </c>
      <c r="E82" s="816"/>
    </row>
    <row r="83" spans="2:5">
      <c r="B83" s="818">
        <v>8.4</v>
      </c>
      <c r="C83" s="817"/>
      <c r="D83" s="813" t="str">
        <f t="shared" si="7"/>
        <v xml:space="preserve">8.4 - </v>
      </c>
      <c r="E83" s="816"/>
    </row>
    <row r="84" spans="2:5">
      <c r="B84" s="818">
        <v>8.5</v>
      </c>
      <c r="C84" s="817"/>
      <c r="D84" s="813" t="str">
        <f t="shared" si="7"/>
        <v xml:space="preserve">8.5 - </v>
      </c>
      <c r="E84" s="816"/>
    </row>
    <row r="85" spans="2:5">
      <c r="B85" s="818">
        <v>8.6</v>
      </c>
      <c r="C85" s="817"/>
      <c r="D85" s="813" t="str">
        <f t="shared" si="7"/>
        <v xml:space="preserve">8.6 - </v>
      </c>
      <c r="E85" s="816"/>
    </row>
    <row r="86" spans="2:5">
      <c r="B86" s="818">
        <v>8.6999999999999993</v>
      </c>
      <c r="C86" s="817"/>
      <c r="D86" s="813" t="str">
        <f t="shared" si="7"/>
        <v xml:space="preserve">8.7 - </v>
      </c>
      <c r="E86" s="816"/>
    </row>
    <row r="87" spans="2:5">
      <c r="B87" s="818">
        <v>8.8000000000000007</v>
      </c>
      <c r="C87" s="817"/>
      <c r="D87" s="813" t="str">
        <f t="shared" si="7"/>
        <v xml:space="preserve">8.8 - </v>
      </c>
      <c r="E87" s="816"/>
    </row>
    <row r="88" spans="2:5">
      <c r="B88" s="818">
        <v>8.9</v>
      </c>
      <c r="C88" s="817"/>
      <c r="D88" s="813" t="str">
        <f t="shared" si="7"/>
        <v xml:space="preserve">8.9 - </v>
      </c>
      <c r="E88" s="816"/>
    </row>
    <row r="89" spans="2:5">
      <c r="B89" s="818" t="s">
        <v>1215</v>
      </c>
      <c r="C89" s="817"/>
      <c r="D89" s="813" t="str">
        <f t="shared" si="7"/>
        <v xml:space="preserve">8.10 - </v>
      </c>
      <c r="E89" s="816"/>
    </row>
    <row r="90" spans="2:5">
      <c r="B90" s="820" t="s">
        <v>984</v>
      </c>
      <c r="C90" s="819" t="s">
        <v>1306</v>
      </c>
      <c r="E90" s="816"/>
    </row>
    <row r="91" spans="2:5">
      <c r="B91" s="818">
        <v>9.1</v>
      </c>
      <c r="C91" s="817" t="s">
        <v>1292</v>
      </c>
      <c r="D91" s="813" t="str">
        <f t="shared" ref="D91:D100" si="8">CONCATENATE(B91, " - ", C91)</f>
        <v>9.1 - Administration</v>
      </c>
      <c r="E91" s="816" t="s">
        <v>1367</v>
      </c>
    </row>
    <row r="92" spans="2:5">
      <c r="B92" s="818">
        <v>9.1999999999999993</v>
      </c>
      <c r="C92" s="817" t="s">
        <v>1307</v>
      </c>
      <c r="D92" s="813" t="str">
        <f t="shared" si="8"/>
        <v>9.2 - Local Economic Development</v>
      </c>
      <c r="E92" s="816" t="s">
        <v>1368</v>
      </c>
    </row>
    <row r="93" spans="2:5">
      <c r="B93" s="818">
        <v>9.3000000000000007</v>
      </c>
      <c r="C93" s="817" t="s">
        <v>233</v>
      </c>
      <c r="D93" s="813" t="str">
        <f t="shared" si="8"/>
        <v>9.3 - Tourism</v>
      </c>
      <c r="E93" s="816" t="s">
        <v>1369</v>
      </c>
    </row>
    <row r="94" spans="2:5">
      <c r="B94" s="818">
        <v>9.4</v>
      </c>
      <c r="C94" s="817" t="s">
        <v>1308</v>
      </c>
      <c r="D94" s="813" t="str">
        <f t="shared" si="8"/>
        <v>9.4 - Director LED</v>
      </c>
      <c r="E94" s="816" t="s">
        <v>1370</v>
      </c>
    </row>
    <row r="95" spans="2:5">
      <c r="B95" s="818">
        <v>9.5</v>
      </c>
      <c r="C95" s="817"/>
      <c r="D95" s="813" t="str">
        <f t="shared" si="8"/>
        <v xml:space="preserve">9.5 - </v>
      </c>
      <c r="E95" s="816"/>
    </row>
    <row r="96" spans="2:5">
      <c r="B96" s="818">
        <v>9.6</v>
      </c>
      <c r="C96" s="817"/>
      <c r="D96" s="813" t="str">
        <f t="shared" si="8"/>
        <v xml:space="preserve">9.6 - </v>
      </c>
      <c r="E96" s="816"/>
    </row>
    <row r="97" spans="2:5">
      <c r="B97" s="818">
        <v>9.6999999999999993</v>
      </c>
      <c r="C97" s="817"/>
      <c r="D97" s="813" t="str">
        <f t="shared" si="8"/>
        <v xml:space="preserve">9.7 - </v>
      </c>
      <c r="E97" s="816"/>
    </row>
    <row r="98" spans="2:5">
      <c r="B98" s="818">
        <v>9.8000000000000007</v>
      </c>
      <c r="C98" s="817"/>
      <c r="D98" s="813" t="str">
        <f t="shared" si="8"/>
        <v xml:space="preserve">9.8 - </v>
      </c>
      <c r="E98" s="816"/>
    </row>
    <row r="99" spans="2:5">
      <c r="B99" s="818">
        <v>9.9</v>
      </c>
      <c r="C99" s="817"/>
      <c r="D99" s="813" t="str">
        <f t="shared" si="8"/>
        <v xml:space="preserve">9.9 - </v>
      </c>
      <c r="E99" s="816"/>
    </row>
    <row r="100" spans="2:5">
      <c r="B100" s="818" t="s">
        <v>1214</v>
      </c>
      <c r="C100" s="817"/>
      <c r="D100" s="813" t="str">
        <f t="shared" si="8"/>
        <v xml:space="preserve">9.10 - </v>
      </c>
      <c r="E100" s="816"/>
    </row>
    <row r="101" spans="2:5">
      <c r="B101" s="820" t="s">
        <v>983</v>
      </c>
      <c r="C101" s="819" t="s">
        <v>1309</v>
      </c>
      <c r="E101" s="816"/>
    </row>
    <row r="102" spans="2:5">
      <c r="B102" s="818">
        <v>10.1</v>
      </c>
      <c r="C102" s="817" t="s">
        <v>1310</v>
      </c>
      <c r="D102" s="813" t="str">
        <f t="shared" ref="D102:D111" si="9">CONCATENATE(B102, " - ", C102)</f>
        <v>10.1 - Housing Services</v>
      </c>
      <c r="E102" s="816" t="s">
        <v>1371</v>
      </c>
    </row>
    <row r="103" spans="2:5">
      <c r="B103" s="818">
        <v>10.199999999999999</v>
      </c>
      <c r="C103" s="817" t="s">
        <v>1311</v>
      </c>
      <c r="D103" s="813" t="str">
        <f t="shared" si="9"/>
        <v>10.2 - Council Building &amp; Estates</v>
      </c>
      <c r="E103" s="816" t="s">
        <v>1372</v>
      </c>
    </row>
    <row r="104" spans="2:5">
      <c r="B104" s="818">
        <v>10.3</v>
      </c>
      <c r="C104" s="817" t="s">
        <v>1312</v>
      </c>
      <c r="D104" s="813" t="str">
        <f t="shared" si="9"/>
        <v>10.3 - Town Planning</v>
      </c>
      <c r="E104" s="816" t="s">
        <v>1373</v>
      </c>
    </row>
    <row r="105" spans="2:5">
      <c r="B105" s="818">
        <v>10.4</v>
      </c>
      <c r="C105" s="817" t="s">
        <v>1313</v>
      </c>
      <c r="D105" s="813" t="str">
        <f t="shared" si="9"/>
        <v>10.4 - Building Inspections</v>
      </c>
      <c r="E105" s="816" t="s">
        <v>1374</v>
      </c>
    </row>
    <row r="106" spans="2:5">
      <c r="B106" s="818">
        <v>10.5</v>
      </c>
      <c r="C106" s="817" t="s">
        <v>1314</v>
      </c>
      <c r="D106" s="813" t="str">
        <f t="shared" si="9"/>
        <v>10.5 - Spartial Planning &amp; Development</v>
      </c>
      <c r="E106" s="816" t="s">
        <v>1375</v>
      </c>
    </row>
    <row r="107" spans="2:5">
      <c r="B107" s="818">
        <v>10.6</v>
      </c>
      <c r="C107" s="817" t="s">
        <v>1292</v>
      </c>
      <c r="D107" s="813" t="str">
        <f t="shared" si="9"/>
        <v>10.6 - Administration</v>
      </c>
      <c r="E107" s="816" t="s">
        <v>1376</v>
      </c>
    </row>
    <row r="108" spans="2:5">
      <c r="B108" s="818">
        <v>10.7</v>
      </c>
      <c r="C108" s="817" t="s">
        <v>1315</v>
      </c>
      <c r="D108" s="813" t="str">
        <f t="shared" si="9"/>
        <v>10.7 - Director Housing</v>
      </c>
      <c r="E108" s="816" t="s">
        <v>1377</v>
      </c>
    </row>
    <row r="109" spans="2:5">
      <c r="B109" s="818">
        <v>10.8</v>
      </c>
      <c r="C109" s="817"/>
      <c r="D109" s="813" t="str">
        <f t="shared" si="9"/>
        <v xml:space="preserve">10.8 - </v>
      </c>
      <c r="E109" s="816"/>
    </row>
    <row r="110" spans="2:5">
      <c r="B110" s="818">
        <v>10.9</v>
      </c>
      <c r="C110" s="817"/>
      <c r="D110" s="813" t="str">
        <f t="shared" si="9"/>
        <v xml:space="preserve">10.9 - </v>
      </c>
      <c r="E110" s="816"/>
    </row>
    <row r="111" spans="2:5">
      <c r="B111" s="818" t="s">
        <v>1213</v>
      </c>
      <c r="C111" s="817"/>
      <c r="D111" s="813" t="str">
        <f t="shared" si="9"/>
        <v xml:space="preserve">10.10 - </v>
      </c>
      <c r="E111" s="816"/>
    </row>
    <row r="112" spans="2:5">
      <c r="B112" s="820" t="s">
        <v>982</v>
      </c>
      <c r="C112" s="819" t="s">
        <v>1316</v>
      </c>
      <c r="E112" s="816"/>
    </row>
    <row r="113" spans="2:5">
      <c r="B113" s="818">
        <v>11.1</v>
      </c>
      <c r="C113" s="817" t="s">
        <v>1317</v>
      </c>
      <c r="D113" s="813" t="str">
        <f t="shared" ref="D113:D122" si="10">CONCATENATE(B113, " - ", C113)</f>
        <v>11.1 - Sanitation &amp; Sewerage</v>
      </c>
      <c r="E113" s="816" t="s">
        <v>1378</v>
      </c>
    </row>
    <row r="114" spans="2:5">
      <c r="B114" s="818">
        <v>11.2</v>
      </c>
      <c r="C114" s="817" t="s">
        <v>1318</v>
      </c>
      <c r="D114" s="813" t="str">
        <f t="shared" si="10"/>
        <v>11.2 - Income received by the Municipality on behalf of the Entity</v>
      </c>
      <c r="E114" s="816" t="s">
        <v>1379</v>
      </c>
    </row>
    <row r="115" spans="2:5">
      <c r="B115" s="818">
        <v>11.3</v>
      </c>
      <c r="C115" s="817"/>
      <c r="D115" s="813" t="str">
        <f t="shared" si="10"/>
        <v xml:space="preserve">11.3 - </v>
      </c>
      <c r="E115" s="816"/>
    </row>
    <row r="116" spans="2:5">
      <c r="B116" s="818">
        <v>11.4</v>
      </c>
      <c r="C116" s="817"/>
      <c r="D116" s="813" t="str">
        <f t="shared" si="10"/>
        <v xml:space="preserve">11.4 - </v>
      </c>
      <c r="E116" s="816"/>
    </row>
    <row r="117" spans="2:5">
      <c r="B117" s="818">
        <v>11.5</v>
      </c>
      <c r="C117" s="817"/>
      <c r="D117" s="813" t="str">
        <f t="shared" si="10"/>
        <v xml:space="preserve">11.5 - </v>
      </c>
      <c r="E117" s="816"/>
    </row>
    <row r="118" spans="2:5">
      <c r="B118" s="818">
        <v>11.6</v>
      </c>
      <c r="C118" s="817"/>
      <c r="D118" s="813" t="str">
        <f t="shared" si="10"/>
        <v xml:space="preserve">11.6 - </v>
      </c>
      <c r="E118" s="816"/>
    </row>
    <row r="119" spans="2:5">
      <c r="B119" s="818">
        <v>11.7</v>
      </c>
      <c r="C119" s="817"/>
      <c r="D119" s="813" t="str">
        <f t="shared" si="10"/>
        <v xml:space="preserve">11.7 - </v>
      </c>
      <c r="E119" s="816"/>
    </row>
    <row r="120" spans="2:5">
      <c r="B120" s="818">
        <v>11.8</v>
      </c>
      <c r="C120" s="817"/>
      <c r="D120" s="813" t="str">
        <f t="shared" si="10"/>
        <v xml:space="preserve">11.8 - </v>
      </c>
      <c r="E120" s="816"/>
    </row>
    <row r="121" spans="2:5">
      <c r="B121" s="818">
        <v>11.9</v>
      </c>
      <c r="C121" s="817"/>
      <c r="D121" s="813" t="str">
        <f t="shared" si="10"/>
        <v xml:space="preserve">11.9 - </v>
      </c>
      <c r="E121" s="816"/>
    </row>
    <row r="122" spans="2:5">
      <c r="B122" s="818" t="s">
        <v>1212</v>
      </c>
      <c r="C122" s="817"/>
      <c r="D122" s="813" t="str">
        <f t="shared" si="10"/>
        <v xml:space="preserve">11.10 - </v>
      </c>
      <c r="E122" s="816"/>
    </row>
    <row r="123" spans="2:5">
      <c r="B123" s="820" t="s">
        <v>981</v>
      </c>
      <c r="C123" s="819" t="s">
        <v>541</v>
      </c>
      <c r="E123" s="816"/>
    </row>
    <row r="124" spans="2:5">
      <c r="B124" s="818">
        <v>12.1</v>
      </c>
      <c r="C124" s="817" t="s">
        <v>541</v>
      </c>
      <c r="D124" s="813" t="str">
        <f t="shared" ref="D124:D133" si="11">CONCATENATE(B124, " - ", C124)</f>
        <v>12.1 - Water</v>
      </c>
      <c r="E124" s="816" t="s">
        <v>1380</v>
      </c>
    </row>
    <row r="125" spans="2:5">
      <c r="B125" s="818">
        <v>12.2</v>
      </c>
      <c r="C125" s="817"/>
      <c r="D125" s="813" t="str">
        <f t="shared" si="11"/>
        <v xml:space="preserve">12.2 - </v>
      </c>
      <c r="E125" s="816"/>
    </row>
    <row r="126" spans="2:5">
      <c r="B126" s="818">
        <v>12.3</v>
      </c>
      <c r="C126" s="817"/>
      <c r="D126" s="813" t="str">
        <f t="shared" si="11"/>
        <v xml:space="preserve">12.3 - </v>
      </c>
      <c r="E126" s="816"/>
    </row>
    <row r="127" spans="2:5">
      <c r="B127" s="818">
        <v>12.4</v>
      </c>
      <c r="C127" s="817"/>
      <c r="D127" s="813" t="str">
        <f t="shared" si="11"/>
        <v xml:space="preserve">12.4 - </v>
      </c>
      <c r="E127" s="816"/>
    </row>
    <row r="128" spans="2:5">
      <c r="B128" s="818">
        <v>12.5</v>
      </c>
      <c r="C128" s="817"/>
      <c r="D128" s="813" t="str">
        <f t="shared" si="11"/>
        <v xml:space="preserve">12.5 - </v>
      </c>
      <c r="E128" s="816"/>
    </row>
    <row r="129" spans="2:5">
      <c r="B129" s="818">
        <v>12.6</v>
      </c>
      <c r="C129" s="817"/>
      <c r="D129" s="813" t="str">
        <f t="shared" si="11"/>
        <v xml:space="preserve">12.6 - </v>
      </c>
      <c r="E129" s="816"/>
    </row>
    <row r="130" spans="2:5">
      <c r="B130" s="818">
        <v>12.7</v>
      </c>
      <c r="C130" s="817"/>
      <c r="D130" s="813" t="str">
        <f t="shared" si="11"/>
        <v xml:space="preserve">12.7 - </v>
      </c>
      <c r="E130" s="816"/>
    </row>
    <row r="131" spans="2:5">
      <c r="B131" s="818">
        <v>12.8</v>
      </c>
      <c r="C131" s="817"/>
      <c r="D131" s="813" t="str">
        <f t="shared" si="11"/>
        <v xml:space="preserve">12.8 - </v>
      </c>
      <c r="E131" s="816"/>
    </row>
    <row r="132" spans="2:5">
      <c r="B132" s="818">
        <v>12.9</v>
      </c>
      <c r="C132" s="817"/>
      <c r="D132" s="813" t="str">
        <f t="shared" si="11"/>
        <v xml:space="preserve">12.9 - </v>
      </c>
      <c r="E132" s="816"/>
    </row>
    <row r="133" spans="2:5">
      <c r="B133" s="818" t="s">
        <v>1211</v>
      </c>
      <c r="C133" s="817"/>
      <c r="D133" s="813" t="str">
        <f t="shared" si="11"/>
        <v xml:space="preserve">12.10 - </v>
      </c>
      <c r="E133" s="816"/>
    </row>
    <row r="134" spans="2:5">
      <c r="B134" s="820" t="s">
        <v>980</v>
      </c>
      <c r="C134" s="819"/>
      <c r="E134" s="816"/>
    </row>
    <row r="135" spans="2:5">
      <c r="B135" s="818">
        <v>13.1</v>
      </c>
      <c r="C135" s="817"/>
      <c r="D135" s="813" t="str">
        <f t="shared" ref="D135:D144" si="12">CONCATENATE(B135, " - ", C135)</f>
        <v xml:space="preserve">13.1 - </v>
      </c>
      <c r="E135" s="816" t="s">
        <v>1210</v>
      </c>
    </row>
    <row r="136" spans="2:5">
      <c r="B136" s="818">
        <v>13.2</v>
      </c>
      <c r="C136" s="817"/>
      <c r="D136" s="813" t="str">
        <f t="shared" si="12"/>
        <v xml:space="preserve">13.2 - </v>
      </c>
      <c r="E136" s="816"/>
    </row>
    <row r="137" spans="2:5">
      <c r="B137" s="818">
        <v>13.3</v>
      </c>
      <c r="C137" s="817"/>
      <c r="D137" s="813" t="str">
        <f t="shared" si="12"/>
        <v xml:space="preserve">13.3 - </v>
      </c>
      <c r="E137" s="816"/>
    </row>
    <row r="138" spans="2:5">
      <c r="B138" s="818">
        <v>13.4</v>
      </c>
      <c r="C138" s="817"/>
      <c r="D138" s="813" t="str">
        <f t="shared" si="12"/>
        <v xml:space="preserve">13.4 - </v>
      </c>
      <c r="E138" s="816"/>
    </row>
    <row r="139" spans="2:5">
      <c r="B139" s="818">
        <v>13.5</v>
      </c>
      <c r="C139" s="817"/>
      <c r="D139" s="813" t="str">
        <f t="shared" si="12"/>
        <v xml:space="preserve">13.5 - </v>
      </c>
      <c r="E139" s="816"/>
    </row>
    <row r="140" spans="2:5">
      <c r="B140" s="818">
        <v>13.6</v>
      </c>
      <c r="C140" s="817"/>
      <c r="D140" s="813" t="str">
        <f t="shared" si="12"/>
        <v xml:space="preserve">13.6 - </v>
      </c>
      <c r="E140" s="816"/>
    </row>
    <row r="141" spans="2:5">
      <c r="B141" s="818">
        <v>13.7</v>
      </c>
      <c r="C141" s="817"/>
      <c r="D141" s="813" t="str">
        <f t="shared" si="12"/>
        <v xml:space="preserve">13.7 - </v>
      </c>
      <c r="E141" s="816"/>
    </row>
    <row r="142" spans="2:5">
      <c r="B142" s="818">
        <v>13.8</v>
      </c>
      <c r="C142" s="817"/>
      <c r="D142" s="813" t="str">
        <f t="shared" si="12"/>
        <v xml:space="preserve">13.8 - </v>
      </c>
      <c r="E142" s="816"/>
    </row>
    <row r="143" spans="2:5">
      <c r="B143" s="818">
        <v>13.9</v>
      </c>
      <c r="C143" s="817"/>
      <c r="D143" s="813" t="str">
        <f t="shared" si="12"/>
        <v xml:space="preserve">13.9 - </v>
      </c>
      <c r="E143" s="816"/>
    </row>
    <row r="144" spans="2:5">
      <c r="B144" s="818" t="s">
        <v>1209</v>
      </c>
      <c r="C144" s="817"/>
      <c r="D144" s="813" t="str">
        <f t="shared" si="12"/>
        <v xml:space="preserve">13.10 - </v>
      </c>
      <c r="E144" s="816"/>
    </row>
    <row r="145" spans="2:5">
      <c r="B145" s="820" t="s">
        <v>979</v>
      </c>
      <c r="C145" s="819"/>
      <c r="E145" s="816"/>
    </row>
    <row r="146" spans="2:5">
      <c r="B146" s="818">
        <v>14.1</v>
      </c>
      <c r="C146" s="817"/>
      <c r="D146" s="813" t="str">
        <f t="shared" ref="D146:D155" si="13">CONCATENATE(B146, " - ", C146)</f>
        <v xml:space="preserve">14.1 - </v>
      </c>
      <c r="E146" s="816" t="s">
        <v>1208</v>
      </c>
    </row>
    <row r="147" spans="2:5">
      <c r="B147" s="818">
        <v>14.2</v>
      </c>
      <c r="C147" s="817"/>
      <c r="D147" s="813" t="str">
        <f t="shared" si="13"/>
        <v xml:space="preserve">14.2 - </v>
      </c>
      <c r="E147" s="816"/>
    </row>
    <row r="148" spans="2:5">
      <c r="B148" s="818">
        <v>14.3</v>
      </c>
      <c r="C148" s="817"/>
      <c r="D148" s="813" t="str">
        <f t="shared" si="13"/>
        <v xml:space="preserve">14.3 - </v>
      </c>
      <c r="E148" s="816"/>
    </row>
    <row r="149" spans="2:5">
      <c r="B149" s="818">
        <v>14.4</v>
      </c>
      <c r="C149" s="817"/>
      <c r="D149" s="813" t="str">
        <f t="shared" si="13"/>
        <v xml:space="preserve">14.4 - </v>
      </c>
      <c r="E149" s="816"/>
    </row>
    <row r="150" spans="2:5">
      <c r="B150" s="818">
        <v>14.5</v>
      </c>
      <c r="C150" s="817"/>
      <c r="D150" s="813" t="str">
        <f t="shared" si="13"/>
        <v xml:space="preserve">14.5 - </v>
      </c>
      <c r="E150" s="816"/>
    </row>
    <row r="151" spans="2:5">
      <c r="B151" s="818">
        <v>14.6</v>
      </c>
      <c r="C151" s="817"/>
      <c r="D151" s="813" t="str">
        <f t="shared" si="13"/>
        <v xml:space="preserve">14.6 - </v>
      </c>
      <c r="E151" s="816"/>
    </row>
    <row r="152" spans="2:5">
      <c r="B152" s="818">
        <v>14.7</v>
      </c>
      <c r="C152" s="817"/>
      <c r="D152" s="813" t="str">
        <f t="shared" si="13"/>
        <v xml:space="preserve">14.7 - </v>
      </c>
      <c r="E152" s="816"/>
    </row>
    <row r="153" spans="2:5">
      <c r="B153" s="818">
        <v>14.8</v>
      </c>
      <c r="C153" s="817"/>
      <c r="D153" s="813" t="str">
        <f t="shared" si="13"/>
        <v xml:space="preserve">14.8 - </v>
      </c>
      <c r="E153" s="816"/>
    </row>
    <row r="154" spans="2:5">
      <c r="B154" s="818">
        <v>14.9</v>
      </c>
      <c r="C154" s="817"/>
      <c r="D154" s="813" t="str">
        <f t="shared" si="13"/>
        <v xml:space="preserve">14.9 - </v>
      </c>
      <c r="E154" s="816"/>
    </row>
    <row r="155" spans="2:5">
      <c r="B155" s="818" t="s">
        <v>1207</v>
      </c>
      <c r="C155" s="817"/>
      <c r="D155" s="813" t="str">
        <f t="shared" si="13"/>
        <v xml:space="preserve">14.10 - </v>
      </c>
      <c r="E155" s="816"/>
    </row>
    <row r="156" spans="2:5">
      <c r="B156" s="820" t="s">
        <v>978</v>
      </c>
      <c r="C156" s="819"/>
      <c r="E156" s="816"/>
    </row>
    <row r="157" spans="2:5">
      <c r="B157" s="818">
        <v>15.1</v>
      </c>
      <c r="C157" s="817"/>
      <c r="D157" s="813" t="str">
        <f t="shared" ref="D157:D166" si="14">CONCATENATE(B157, " - ", C157)</f>
        <v xml:space="preserve">15.1 - </v>
      </c>
      <c r="E157" s="816" t="s">
        <v>1206</v>
      </c>
    </row>
    <row r="158" spans="2:5">
      <c r="B158" s="818">
        <v>15.2</v>
      </c>
      <c r="C158" s="817"/>
      <c r="D158" s="813" t="str">
        <f t="shared" si="14"/>
        <v xml:space="preserve">15.2 - </v>
      </c>
      <c r="E158" s="816"/>
    </row>
    <row r="159" spans="2:5">
      <c r="B159" s="818">
        <v>15.3</v>
      </c>
      <c r="C159" s="817"/>
      <c r="D159" s="813" t="str">
        <f t="shared" si="14"/>
        <v xml:space="preserve">15.3 - </v>
      </c>
      <c r="E159" s="816"/>
    </row>
    <row r="160" spans="2:5">
      <c r="B160" s="818">
        <v>15.4</v>
      </c>
      <c r="C160" s="817"/>
      <c r="D160" s="813" t="str">
        <f t="shared" si="14"/>
        <v xml:space="preserve">15.4 - </v>
      </c>
      <c r="E160" s="816"/>
    </row>
    <row r="161" spans="2:5">
      <c r="B161" s="818">
        <v>15.5</v>
      </c>
      <c r="C161" s="817"/>
      <c r="D161" s="813" t="str">
        <f t="shared" si="14"/>
        <v xml:space="preserve">15.5 - </v>
      </c>
      <c r="E161" s="816"/>
    </row>
    <row r="162" spans="2:5">
      <c r="B162" s="818">
        <v>15.6</v>
      </c>
      <c r="C162" s="817"/>
      <c r="D162" s="813" t="str">
        <f t="shared" si="14"/>
        <v xml:space="preserve">15.6 - </v>
      </c>
      <c r="E162" s="816"/>
    </row>
    <row r="163" spans="2:5">
      <c r="B163" s="818">
        <v>15.7</v>
      </c>
      <c r="C163" s="817"/>
      <c r="D163" s="813" t="str">
        <f t="shared" si="14"/>
        <v xml:space="preserve">15.7 - </v>
      </c>
      <c r="E163" s="816"/>
    </row>
    <row r="164" spans="2:5">
      <c r="B164" s="818">
        <v>15.8</v>
      </c>
      <c r="C164" s="817"/>
      <c r="D164" s="813" t="str">
        <f t="shared" si="14"/>
        <v xml:space="preserve">15.8 - </v>
      </c>
      <c r="E164" s="816"/>
    </row>
    <row r="165" spans="2:5">
      <c r="B165" s="818">
        <v>15.9</v>
      </c>
      <c r="C165" s="817"/>
      <c r="D165" s="813" t="str">
        <f t="shared" si="14"/>
        <v xml:space="preserve">15.9 - </v>
      </c>
      <c r="E165" s="816"/>
    </row>
    <row r="166" spans="2:5">
      <c r="B166" s="818" t="s">
        <v>1205</v>
      </c>
      <c r="C166" s="817"/>
      <c r="D166" s="813" t="str">
        <f t="shared" si="14"/>
        <v xml:space="preserve">15.10 - </v>
      </c>
      <c r="E166" s="816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00" max="16383" man="1"/>
  </rowBreaks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zoomScaleNormal="100" zoomScaleSheetLayoutView="100" workbookViewId="0">
      <selection activeCell="D69" sqref="D69"/>
    </sheetView>
  </sheetViews>
  <sheetFormatPr defaultRowHeight="12.75"/>
  <cols>
    <col min="1" max="1" width="20.7109375" style="829" customWidth="1"/>
    <col min="2" max="2" width="40.7109375" style="829" customWidth="1"/>
    <col min="3" max="3" width="20.7109375" style="829" customWidth="1"/>
    <col min="4" max="4" width="40.7109375" style="829" customWidth="1"/>
    <col min="5" max="5" width="8.85546875" style="829" customWidth="1"/>
    <col min="6" max="10" width="8.7109375" style="830" customWidth="1"/>
    <col min="11" max="15" width="12.85546875" style="830" customWidth="1"/>
    <col min="16" max="17" width="30.7109375" style="830" customWidth="1"/>
    <col min="18" max="16384" width="9.140625" style="441"/>
  </cols>
  <sheetData>
    <row r="1" spans="1:17" ht="13.5" customHeight="1">
      <c r="A1" s="699" t="str">
        <f>muni&amp;" - "&amp;" Contact Information"</f>
        <v>FS194 Maluti-a-Phofung -  Contact Information</v>
      </c>
      <c r="B1" s="828"/>
    </row>
    <row r="2" spans="1:17" ht="13.5" customHeight="1">
      <c r="A2" s="831"/>
      <c r="B2" s="832"/>
      <c r="C2" s="831"/>
      <c r="D2" s="831"/>
    </row>
    <row r="3" spans="1:17" ht="13.5" customHeight="1" thickBot="1">
      <c r="A3" s="833" t="s">
        <v>442</v>
      </c>
      <c r="B3" s="834"/>
      <c r="C3" s="831"/>
      <c r="D3" s="831"/>
    </row>
    <row r="4" spans="1:17" ht="13.5" customHeight="1" thickTop="1">
      <c r="A4" s="835" t="s">
        <v>443</v>
      </c>
      <c r="B4" s="836" t="str">
        <f>muni</f>
        <v>FS194 Maluti-a-Phofung</v>
      </c>
      <c r="C4" s="837" t="s">
        <v>245</v>
      </c>
      <c r="D4" s="838"/>
      <c r="F4" s="839"/>
      <c r="G4" s="839"/>
      <c r="H4" s="839"/>
      <c r="I4" s="840"/>
      <c r="J4" s="839"/>
      <c r="K4" s="841"/>
      <c r="L4" s="841"/>
      <c r="M4" s="841"/>
      <c r="N4" s="841"/>
      <c r="O4" s="841"/>
      <c r="P4" s="842"/>
      <c r="Q4" s="843"/>
    </row>
    <row r="5" spans="1:17" ht="13.5" customHeight="1">
      <c r="A5" s="844"/>
      <c r="B5" s="845"/>
      <c r="C5" s="838"/>
      <c r="D5" s="838"/>
      <c r="F5" s="839"/>
      <c r="G5" s="839"/>
      <c r="H5" s="839"/>
      <c r="I5" s="840"/>
      <c r="J5" s="839"/>
      <c r="K5" s="841"/>
      <c r="L5" s="841"/>
      <c r="M5" s="841"/>
      <c r="N5" s="841"/>
      <c r="O5" s="841"/>
      <c r="P5" s="842"/>
      <c r="Q5" s="846"/>
    </row>
    <row r="6" spans="1:17" s="851" customFormat="1" ht="13.5" customHeight="1">
      <c r="A6" s="847" t="s">
        <v>444</v>
      </c>
      <c r="B6" s="913">
        <v>4</v>
      </c>
      <c r="C6" s="848" t="s">
        <v>445</v>
      </c>
      <c r="D6" s="849"/>
      <c r="E6" s="850"/>
      <c r="F6" s="839"/>
      <c r="G6" s="839"/>
      <c r="H6" s="840"/>
      <c r="I6" s="840"/>
      <c r="J6" s="839"/>
      <c r="K6" s="841"/>
      <c r="L6" s="841"/>
      <c r="M6" s="841"/>
      <c r="N6" s="841"/>
      <c r="O6" s="841"/>
      <c r="P6" s="842"/>
      <c r="Q6" s="843"/>
    </row>
    <row r="7" spans="1:17" s="851" customFormat="1" ht="13.5" customHeight="1">
      <c r="A7" s="852"/>
      <c r="B7" s="853"/>
      <c r="C7" s="849"/>
      <c r="D7" s="849"/>
      <c r="E7" s="850"/>
      <c r="F7" s="839"/>
      <c r="G7" s="839"/>
      <c r="H7" s="840"/>
      <c r="I7" s="840"/>
      <c r="J7" s="839"/>
      <c r="K7" s="841"/>
      <c r="L7" s="841"/>
      <c r="M7" s="841"/>
      <c r="N7" s="841"/>
      <c r="O7" s="841"/>
      <c r="P7" s="842"/>
      <c r="Q7" s="843"/>
    </row>
    <row r="8" spans="1:17" s="851" customFormat="1" ht="13.5" customHeight="1">
      <c r="A8" s="854" t="s">
        <v>446</v>
      </c>
      <c r="B8" s="855" t="str">
        <f>IF(B4&gt;" ",VLOOKUP(B4,'Lookup and lists'!B28:C311,2, FALSE)," ")</f>
        <v>FS FREE STATE</v>
      </c>
      <c r="C8" s="965"/>
      <c r="D8" s="965"/>
      <c r="E8" s="850"/>
      <c r="F8" s="839"/>
      <c r="G8" s="839"/>
      <c r="H8" s="840"/>
      <c r="I8" s="840"/>
      <c r="J8" s="839"/>
      <c r="K8" s="841"/>
      <c r="L8" s="841"/>
      <c r="M8" s="841"/>
      <c r="N8" s="841"/>
      <c r="O8" s="841"/>
      <c r="P8" s="842"/>
      <c r="Q8" s="843"/>
    </row>
    <row r="9" spans="1:17" s="851" customFormat="1" ht="13.5" customHeight="1">
      <c r="A9" s="857"/>
      <c r="B9" s="858"/>
      <c r="C9" s="856"/>
      <c r="D9" s="856"/>
      <c r="E9" s="850"/>
      <c r="F9" s="839"/>
      <c r="G9" s="839"/>
      <c r="H9" s="840"/>
      <c r="I9" s="840"/>
      <c r="J9" s="839"/>
      <c r="K9" s="841"/>
      <c r="L9" s="841"/>
      <c r="M9" s="841"/>
      <c r="N9" s="841"/>
      <c r="O9" s="841"/>
      <c r="P9" s="842"/>
      <c r="Q9" s="843"/>
    </row>
    <row r="10" spans="1:17" ht="13.5" customHeight="1">
      <c r="A10" s="859" t="s">
        <v>447</v>
      </c>
      <c r="B10" s="914" t="s">
        <v>1381</v>
      </c>
      <c r="C10" s="860"/>
      <c r="D10" s="861"/>
      <c r="F10" s="840"/>
      <c r="G10" s="839"/>
      <c r="H10" s="840"/>
      <c r="I10" s="840"/>
      <c r="J10" s="839"/>
      <c r="K10" s="841"/>
      <c r="L10" s="841"/>
      <c r="M10" s="841"/>
      <c r="N10" s="841"/>
      <c r="O10" s="841"/>
      <c r="P10" s="842"/>
      <c r="Q10" s="843"/>
    </row>
    <row r="11" spans="1:17" ht="13.5" customHeight="1">
      <c r="A11" s="862"/>
      <c r="B11" s="863"/>
      <c r="C11" s="966"/>
      <c r="D11" s="967"/>
      <c r="F11" s="840"/>
      <c r="G11" s="839"/>
      <c r="H11" s="840"/>
      <c r="I11" s="840"/>
      <c r="J11" s="839"/>
      <c r="K11" s="841"/>
      <c r="L11" s="841"/>
      <c r="M11" s="841"/>
      <c r="N11" s="841"/>
      <c r="O11" s="841"/>
      <c r="P11" s="842"/>
      <c r="Q11" s="846"/>
    </row>
    <row r="12" spans="1:17" ht="13.5" customHeight="1">
      <c r="A12" s="859" t="s">
        <v>448</v>
      </c>
      <c r="B12" s="864"/>
      <c r="C12" s="865"/>
      <c r="D12" s="865"/>
      <c r="F12" s="840"/>
      <c r="G12" s="840"/>
      <c r="H12" s="840"/>
      <c r="I12" s="840"/>
      <c r="J12" s="839"/>
      <c r="K12" s="841"/>
      <c r="L12" s="841"/>
      <c r="M12" s="841"/>
      <c r="N12" s="841"/>
      <c r="O12" s="841"/>
      <c r="P12" s="842"/>
      <c r="Q12" s="843"/>
    </row>
    <row r="13" spans="1:17" ht="13.5" customHeight="1">
      <c r="A13" s="866"/>
      <c r="B13" s="867"/>
      <c r="C13" s="968"/>
      <c r="D13" s="968"/>
      <c r="F13" s="840"/>
      <c r="G13" s="840"/>
      <c r="H13" s="840"/>
      <c r="I13" s="868"/>
      <c r="J13" s="840"/>
      <c r="K13" s="841"/>
      <c r="L13" s="841"/>
      <c r="M13" s="841"/>
      <c r="N13" s="841"/>
      <c r="O13" s="841"/>
      <c r="P13" s="842"/>
    </row>
    <row r="14" spans="1:17" ht="13.5" customHeight="1" thickBot="1">
      <c r="A14" s="969" t="s">
        <v>449</v>
      </c>
      <c r="B14" s="970"/>
      <c r="C14" s="850"/>
      <c r="D14" s="850"/>
      <c r="F14" s="840"/>
      <c r="G14" s="840"/>
      <c r="H14" s="868"/>
      <c r="I14" s="869"/>
      <c r="J14" s="840"/>
      <c r="K14" s="841"/>
      <c r="L14" s="841"/>
      <c r="M14" s="841"/>
      <c r="N14" s="841"/>
      <c r="O14" s="841"/>
      <c r="P14" s="842"/>
    </row>
    <row r="15" spans="1:17" ht="13.5" customHeight="1" thickTop="1">
      <c r="A15" s="870" t="s">
        <v>450</v>
      </c>
      <c r="B15" s="871"/>
      <c r="F15" s="868"/>
      <c r="G15" s="840"/>
      <c r="H15" s="869"/>
      <c r="I15" s="869"/>
      <c r="J15" s="840"/>
      <c r="K15" s="841"/>
      <c r="L15" s="841"/>
      <c r="M15" s="841"/>
      <c r="N15" s="841"/>
      <c r="O15" s="841"/>
      <c r="P15" s="842"/>
    </row>
    <row r="16" spans="1:17" s="851" customFormat="1" ht="13.5" customHeight="1">
      <c r="A16" s="872" t="s">
        <v>451</v>
      </c>
      <c r="B16" s="915" t="s">
        <v>1382</v>
      </c>
      <c r="C16" s="829"/>
      <c r="D16" s="829"/>
      <c r="E16" s="850"/>
      <c r="F16" s="869"/>
      <c r="G16" s="868"/>
      <c r="H16" s="869"/>
      <c r="I16" s="869"/>
      <c r="J16" s="840"/>
      <c r="K16" s="841"/>
      <c r="L16" s="841"/>
      <c r="M16" s="841"/>
      <c r="N16" s="841"/>
      <c r="O16" s="841"/>
      <c r="P16" s="842"/>
      <c r="Q16" s="830"/>
    </row>
    <row r="17" spans="1:16" ht="13.5" customHeight="1">
      <c r="A17" s="872" t="s">
        <v>452</v>
      </c>
      <c r="B17" s="915" t="s">
        <v>1383</v>
      </c>
      <c r="F17" s="869"/>
      <c r="G17" s="869"/>
      <c r="H17" s="869"/>
      <c r="I17" s="869"/>
      <c r="J17" s="868"/>
      <c r="K17" s="841"/>
      <c r="L17" s="841"/>
      <c r="M17" s="841"/>
      <c r="N17" s="841"/>
      <c r="O17" s="841"/>
      <c r="P17" s="842"/>
    </row>
    <row r="18" spans="1:16" ht="13.5" customHeight="1">
      <c r="A18" s="874" t="s">
        <v>453</v>
      </c>
      <c r="B18" s="916">
        <v>9870</v>
      </c>
      <c r="F18" s="869"/>
      <c r="G18" s="869"/>
      <c r="H18" s="869"/>
      <c r="I18" s="869"/>
      <c r="J18" s="869"/>
      <c r="K18" s="841"/>
      <c r="L18" s="841"/>
      <c r="M18" s="841"/>
      <c r="N18" s="841"/>
      <c r="O18" s="841"/>
      <c r="P18" s="842"/>
    </row>
    <row r="19" spans="1:16" ht="13.5" customHeight="1">
      <c r="A19" s="875"/>
      <c r="B19" s="876"/>
      <c r="F19" s="869"/>
      <c r="G19" s="869"/>
      <c r="H19" s="869"/>
      <c r="I19" s="869"/>
      <c r="J19" s="869"/>
      <c r="K19" s="841"/>
      <c r="L19" s="841"/>
      <c r="M19" s="841"/>
      <c r="N19" s="841"/>
      <c r="O19" s="841"/>
      <c r="P19" s="842"/>
    </row>
    <row r="20" spans="1:16" ht="13.5" customHeight="1">
      <c r="A20" s="877" t="s">
        <v>454</v>
      </c>
      <c r="B20" s="878"/>
      <c r="F20" s="869"/>
      <c r="G20" s="869"/>
      <c r="H20" s="869"/>
      <c r="I20" s="869"/>
      <c r="J20" s="869"/>
      <c r="K20" s="841"/>
      <c r="L20" s="841"/>
      <c r="M20" s="841"/>
      <c r="N20" s="841"/>
      <c r="O20" s="841"/>
      <c r="P20" s="842"/>
    </row>
    <row r="21" spans="1:16" ht="13.5" customHeight="1">
      <c r="A21" s="872" t="s">
        <v>455</v>
      </c>
      <c r="B21" s="915" t="s">
        <v>1384</v>
      </c>
      <c r="F21" s="869"/>
      <c r="G21" s="869"/>
      <c r="H21" s="869"/>
      <c r="I21" s="869"/>
      <c r="J21" s="869"/>
      <c r="K21" s="841"/>
      <c r="L21" s="841"/>
      <c r="M21" s="841"/>
      <c r="N21" s="841"/>
      <c r="O21" s="841"/>
      <c r="P21" s="842"/>
    </row>
    <row r="22" spans="1:16" ht="13.5" customHeight="1">
      <c r="A22" s="872" t="s">
        <v>456</v>
      </c>
      <c r="B22" s="915" t="s">
        <v>1385</v>
      </c>
      <c r="F22" s="869"/>
      <c r="G22" s="869"/>
      <c r="H22" s="869"/>
      <c r="I22" s="869"/>
      <c r="J22" s="869"/>
      <c r="K22" s="841"/>
      <c r="L22" s="841"/>
      <c r="M22" s="841"/>
      <c r="N22" s="841"/>
      <c r="O22" s="841"/>
      <c r="P22" s="842"/>
    </row>
    <row r="23" spans="1:16" ht="13.5" customHeight="1">
      <c r="A23" s="872" t="s">
        <v>452</v>
      </c>
      <c r="B23" s="915" t="s">
        <v>1386</v>
      </c>
      <c r="F23" s="869"/>
      <c r="G23" s="869"/>
      <c r="H23" s="869"/>
      <c r="I23" s="869"/>
      <c r="J23" s="869"/>
      <c r="K23" s="841"/>
      <c r="L23" s="841"/>
      <c r="M23" s="841"/>
      <c r="N23" s="841"/>
      <c r="O23" s="841"/>
      <c r="P23" s="842"/>
    </row>
    <row r="24" spans="1:16" ht="13.5" customHeight="1">
      <c r="A24" s="874" t="s">
        <v>453</v>
      </c>
      <c r="B24" s="916">
        <v>9870</v>
      </c>
      <c r="F24" s="869"/>
      <c r="G24" s="869"/>
      <c r="H24" s="869"/>
      <c r="I24" s="869"/>
      <c r="J24" s="869"/>
      <c r="K24" s="841"/>
      <c r="L24" s="841"/>
      <c r="M24" s="841"/>
      <c r="N24" s="841"/>
      <c r="O24" s="841"/>
      <c r="P24" s="842"/>
    </row>
    <row r="25" spans="1:16" ht="13.5" customHeight="1">
      <c r="A25" s="875"/>
      <c r="B25" s="876"/>
      <c r="D25" s="879"/>
      <c r="F25" s="869"/>
      <c r="G25" s="869"/>
      <c r="H25" s="869"/>
      <c r="I25" s="869"/>
      <c r="J25" s="869"/>
      <c r="K25" s="841"/>
      <c r="L25" s="841"/>
      <c r="M25" s="841"/>
      <c r="N25" s="841"/>
      <c r="O25" s="841"/>
      <c r="P25" s="842"/>
    </row>
    <row r="26" spans="1:16" ht="13.5" customHeight="1">
      <c r="A26" s="877" t="s">
        <v>457</v>
      </c>
      <c r="B26" s="880"/>
      <c r="F26" s="869"/>
      <c r="G26" s="869"/>
      <c r="H26" s="869"/>
      <c r="I26" s="869"/>
      <c r="J26" s="869"/>
      <c r="K26" s="841"/>
      <c r="L26" s="841"/>
      <c r="M26" s="841"/>
      <c r="N26" s="841"/>
      <c r="O26" s="841"/>
      <c r="P26" s="842"/>
    </row>
    <row r="27" spans="1:16" ht="13.5" customHeight="1">
      <c r="A27" s="872" t="s">
        <v>458</v>
      </c>
      <c r="B27" s="915" t="s">
        <v>1387</v>
      </c>
      <c r="F27" s="869"/>
      <c r="G27" s="869"/>
      <c r="H27" s="869"/>
      <c r="I27" s="869"/>
      <c r="J27" s="869"/>
      <c r="K27" s="841"/>
      <c r="L27" s="841"/>
      <c r="M27" s="841"/>
      <c r="N27" s="841"/>
      <c r="O27" s="841"/>
      <c r="P27" s="842"/>
    </row>
    <row r="28" spans="1:16" ht="13.5" customHeight="1">
      <c r="A28" s="874" t="s">
        <v>459</v>
      </c>
      <c r="B28" s="917" t="s">
        <v>1388</v>
      </c>
      <c r="J28" s="869"/>
      <c r="K28" s="869"/>
      <c r="L28" s="869"/>
      <c r="M28" s="869"/>
      <c r="N28" s="869"/>
      <c r="O28" s="869"/>
      <c r="P28" s="842"/>
    </row>
    <row r="29" spans="1:16" ht="13.5" customHeight="1">
      <c r="A29" s="875"/>
      <c r="B29" s="882"/>
      <c r="P29" s="842"/>
    </row>
    <row r="30" spans="1:16" ht="13.5" customHeight="1" thickBot="1">
      <c r="A30" s="971" t="s">
        <v>460</v>
      </c>
      <c r="B30" s="972"/>
      <c r="C30" s="973"/>
      <c r="D30" s="974"/>
      <c r="P30" s="842"/>
    </row>
    <row r="31" spans="1:16" ht="13.5" customHeight="1" thickTop="1">
      <c r="A31" s="877" t="s">
        <v>461</v>
      </c>
      <c r="B31" s="878"/>
      <c r="C31" s="963" t="s">
        <v>462</v>
      </c>
      <c r="D31" s="964"/>
      <c r="P31" s="842"/>
    </row>
    <row r="32" spans="1:16" ht="13.5" customHeight="1">
      <c r="A32" s="872" t="s">
        <v>463</v>
      </c>
      <c r="B32" s="939" t="s">
        <v>1418</v>
      </c>
      <c r="C32" s="872" t="s">
        <v>463</v>
      </c>
      <c r="D32" s="941" t="s">
        <v>1420</v>
      </c>
      <c r="P32" s="842"/>
    </row>
    <row r="33" spans="1:16" ht="13.5" customHeight="1">
      <c r="A33" s="872" t="s">
        <v>458</v>
      </c>
      <c r="B33" s="939">
        <v>587183795</v>
      </c>
      <c r="C33" s="872" t="s">
        <v>458</v>
      </c>
      <c r="D33" s="942">
        <v>857133795</v>
      </c>
      <c r="F33" s="839"/>
      <c r="G33" s="841"/>
      <c r="P33" s="842"/>
    </row>
    <row r="34" spans="1:16" ht="13.5" customHeight="1">
      <c r="A34" s="872" t="s">
        <v>464</v>
      </c>
      <c r="B34" s="939">
        <v>837269493</v>
      </c>
      <c r="C34" s="872" t="s">
        <v>464</v>
      </c>
      <c r="D34" s="942">
        <v>726165691</v>
      </c>
      <c r="F34" s="839"/>
      <c r="G34" s="841"/>
      <c r="P34" s="842"/>
    </row>
    <row r="35" spans="1:16" ht="13.5" customHeight="1">
      <c r="A35" s="872" t="s">
        <v>459</v>
      </c>
      <c r="B35" s="939">
        <v>587136367</v>
      </c>
      <c r="C35" s="872" t="s">
        <v>459</v>
      </c>
      <c r="D35" s="942">
        <v>857136367</v>
      </c>
      <c r="F35" s="840"/>
      <c r="G35" s="841"/>
      <c r="P35" s="842"/>
    </row>
    <row r="36" spans="1:16" ht="13.5" customHeight="1">
      <c r="A36" s="872" t="s">
        <v>465</v>
      </c>
      <c r="B36" s="940" t="s">
        <v>1419</v>
      </c>
      <c r="C36" s="872" t="s">
        <v>465</v>
      </c>
      <c r="D36" s="943" t="s">
        <v>1421</v>
      </c>
      <c r="F36" s="840"/>
      <c r="G36" s="841"/>
      <c r="P36" s="842"/>
    </row>
    <row r="37" spans="1:16" ht="13.5" customHeight="1">
      <c r="A37" s="872"/>
      <c r="B37" s="883"/>
      <c r="C37" s="872"/>
      <c r="D37" s="883"/>
      <c r="F37" s="840"/>
      <c r="G37" s="841"/>
      <c r="P37" s="842"/>
    </row>
    <row r="38" spans="1:16" ht="13.5" customHeight="1">
      <c r="A38" s="957" t="s">
        <v>466</v>
      </c>
      <c r="B38" s="958"/>
      <c r="C38" s="957" t="s">
        <v>467</v>
      </c>
      <c r="D38" s="958"/>
      <c r="F38" s="840"/>
      <c r="G38" s="841"/>
      <c r="P38" s="842"/>
    </row>
    <row r="39" spans="1:16" ht="13.5" customHeight="1">
      <c r="A39" s="872" t="s">
        <v>463</v>
      </c>
      <c r="B39" s="937" t="s">
        <v>1413</v>
      </c>
      <c r="C39" s="872" t="s">
        <v>463</v>
      </c>
      <c r="D39" s="873" t="s">
        <v>1425</v>
      </c>
      <c r="F39" s="840"/>
      <c r="G39" s="841"/>
      <c r="P39" s="842"/>
    </row>
    <row r="40" spans="1:16" ht="13.5" customHeight="1">
      <c r="A40" s="872" t="s">
        <v>458</v>
      </c>
      <c r="B40" s="937" t="s">
        <v>1414</v>
      </c>
      <c r="C40" s="872" t="s">
        <v>458</v>
      </c>
      <c r="D40" s="873" t="s">
        <v>1426</v>
      </c>
      <c r="F40" s="868"/>
      <c r="G40" s="841"/>
      <c r="P40" s="842"/>
    </row>
    <row r="41" spans="1:16" ht="13.5" customHeight="1">
      <c r="A41" s="872" t="s">
        <v>464</v>
      </c>
      <c r="B41" s="937" t="s">
        <v>1415</v>
      </c>
      <c r="C41" s="872" t="s">
        <v>464</v>
      </c>
      <c r="D41" s="873" t="s">
        <v>1427</v>
      </c>
      <c r="F41" s="869"/>
      <c r="G41" s="841"/>
      <c r="P41" s="842"/>
    </row>
    <row r="42" spans="1:16" ht="13.5" customHeight="1">
      <c r="A42" s="872" t="s">
        <v>459</v>
      </c>
      <c r="B42" s="937" t="s">
        <v>1416</v>
      </c>
      <c r="C42" s="872" t="s">
        <v>459</v>
      </c>
      <c r="D42" s="873" t="s">
        <v>1428</v>
      </c>
      <c r="F42" s="869"/>
      <c r="G42" s="841"/>
      <c r="P42" s="842"/>
    </row>
    <row r="43" spans="1:16" ht="13.5" customHeight="1">
      <c r="A43" s="884" t="s">
        <v>465</v>
      </c>
      <c r="B43" s="938" t="s">
        <v>1417</v>
      </c>
      <c r="C43" s="884" t="s">
        <v>465</v>
      </c>
      <c r="D43" s="944" t="s">
        <v>1429</v>
      </c>
      <c r="F43" s="869"/>
      <c r="G43" s="841"/>
      <c r="P43" s="842"/>
    </row>
    <row r="44" spans="1:16" ht="13.5" customHeight="1">
      <c r="A44" s="875"/>
      <c r="B44" s="882"/>
      <c r="C44" s="875"/>
      <c r="D44" s="882"/>
      <c r="F44" s="869"/>
      <c r="G44" s="841"/>
      <c r="P44" s="842"/>
    </row>
    <row r="45" spans="1:16" ht="13.5" customHeight="1">
      <c r="A45" s="957" t="s">
        <v>468</v>
      </c>
      <c r="B45" s="958"/>
      <c r="C45" s="957" t="s">
        <v>469</v>
      </c>
      <c r="D45" s="958"/>
      <c r="F45" s="869"/>
      <c r="G45" s="841"/>
      <c r="P45" s="842"/>
    </row>
    <row r="46" spans="1:16" ht="13.5" customHeight="1">
      <c r="A46" s="872" t="s">
        <v>463</v>
      </c>
      <c r="B46" s="873"/>
      <c r="C46" s="872" t="s">
        <v>463</v>
      </c>
      <c r="D46" s="873"/>
      <c r="F46" s="869"/>
      <c r="G46" s="841"/>
      <c r="P46" s="842"/>
    </row>
    <row r="47" spans="1:16" ht="13.5" customHeight="1">
      <c r="A47" s="872" t="s">
        <v>458</v>
      </c>
      <c r="B47" s="873"/>
      <c r="C47" s="872" t="s">
        <v>458</v>
      </c>
      <c r="D47" s="873"/>
      <c r="F47" s="869"/>
      <c r="G47" s="841"/>
      <c r="P47" s="842"/>
    </row>
    <row r="48" spans="1:16" ht="13.5" customHeight="1">
      <c r="A48" s="872" t="s">
        <v>464</v>
      </c>
      <c r="B48" s="873"/>
      <c r="C48" s="872" t="s">
        <v>464</v>
      </c>
      <c r="D48" s="873"/>
      <c r="F48" s="869"/>
      <c r="G48" s="841"/>
      <c r="P48" s="842"/>
    </row>
    <row r="49" spans="1:17" s="830" customFormat="1" ht="13.5" customHeight="1">
      <c r="A49" s="872" t="s">
        <v>459</v>
      </c>
      <c r="B49" s="873"/>
      <c r="C49" s="872" t="s">
        <v>459</v>
      </c>
      <c r="D49" s="873"/>
      <c r="E49" s="829"/>
      <c r="F49" s="869"/>
      <c r="G49" s="841"/>
      <c r="P49" s="842"/>
    </row>
    <row r="50" spans="1:17" s="830" customFormat="1" ht="13.5" customHeight="1">
      <c r="A50" s="874" t="s">
        <v>465</v>
      </c>
      <c r="B50" s="881"/>
      <c r="C50" s="874" t="s">
        <v>465</v>
      </c>
      <c r="D50" s="881"/>
      <c r="E50" s="829"/>
      <c r="F50" s="869"/>
      <c r="G50" s="841"/>
      <c r="P50" s="842"/>
    </row>
    <row r="51" spans="1:17" s="830" customFormat="1" ht="13.5" customHeight="1">
      <c r="A51" s="875"/>
      <c r="B51" s="882"/>
      <c r="C51" s="875"/>
      <c r="D51" s="882"/>
      <c r="E51" s="829"/>
      <c r="F51" s="869"/>
      <c r="G51" s="841"/>
      <c r="P51" s="842"/>
    </row>
    <row r="52" spans="1:17" s="830" customFormat="1" ht="13.5" customHeight="1" thickBot="1">
      <c r="A52" s="953" t="s">
        <v>470</v>
      </c>
      <c r="B52" s="954"/>
      <c r="C52" s="955"/>
      <c r="D52" s="956"/>
      <c r="E52" s="829"/>
      <c r="F52" s="869"/>
      <c r="G52" s="841"/>
      <c r="P52" s="842"/>
    </row>
    <row r="53" spans="1:17" s="887" customFormat="1" ht="13.5" customHeight="1" thickTop="1">
      <c r="A53" s="877" t="s">
        <v>471</v>
      </c>
      <c r="B53" s="878"/>
      <c r="C53" s="957" t="s">
        <v>472</v>
      </c>
      <c r="D53" s="958"/>
      <c r="E53" s="831"/>
      <c r="F53" s="885"/>
      <c r="G53" s="886"/>
      <c r="P53" s="842"/>
      <c r="Q53" s="830"/>
    </row>
    <row r="54" spans="1:17" s="887" customFormat="1" ht="13.5" customHeight="1">
      <c r="A54" s="872" t="s">
        <v>463</v>
      </c>
      <c r="B54" s="932" t="s">
        <v>1399</v>
      </c>
      <c r="C54" s="872" t="s">
        <v>463</v>
      </c>
      <c r="D54" s="935" t="s">
        <v>1411</v>
      </c>
      <c r="E54" s="831"/>
      <c r="F54" s="885"/>
      <c r="G54" s="886"/>
      <c r="P54" s="842"/>
      <c r="Q54" s="830"/>
    </row>
    <row r="55" spans="1:17" s="830" customFormat="1" ht="13.5" customHeight="1">
      <c r="A55" s="872" t="s">
        <v>458</v>
      </c>
      <c r="B55" s="934" t="s">
        <v>1402</v>
      </c>
      <c r="C55" s="872" t="s">
        <v>458</v>
      </c>
      <c r="D55" s="935" t="s">
        <v>1402</v>
      </c>
      <c r="E55" s="829"/>
      <c r="F55" s="869"/>
      <c r="G55" s="841"/>
      <c r="P55" s="842"/>
    </row>
    <row r="56" spans="1:17" s="830" customFormat="1" ht="13.5" customHeight="1">
      <c r="A56" s="872" t="s">
        <v>464</v>
      </c>
      <c r="B56" s="934" t="s">
        <v>1410</v>
      </c>
      <c r="C56" s="872" t="s">
        <v>464</v>
      </c>
      <c r="D56" s="935"/>
      <c r="E56" s="829"/>
      <c r="F56" s="869"/>
      <c r="G56" s="841"/>
      <c r="P56" s="842"/>
    </row>
    <row r="57" spans="1:17" s="830" customFormat="1" ht="13.5" customHeight="1">
      <c r="A57" s="872" t="s">
        <v>459</v>
      </c>
      <c r="B57" s="932" t="s">
        <v>1400</v>
      </c>
      <c r="C57" s="872" t="s">
        <v>459</v>
      </c>
      <c r="D57" s="935" t="s">
        <v>1403</v>
      </c>
      <c r="E57" s="829"/>
      <c r="F57" s="869"/>
      <c r="G57" s="841"/>
      <c r="P57" s="842"/>
    </row>
    <row r="58" spans="1:17" ht="13.5" customHeight="1">
      <c r="A58" s="874" t="s">
        <v>465</v>
      </c>
      <c r="B58" s="933" t="s">
        <v>1401</v>
      </c>
      <c r="C58" s="874" t="s">
        <v>465</v>
      </c>
      <c r="D58" s="936" t="s">
        <v>1412</v>
      </c>
      <c r="F58" s="869"/>
      <c r="G58" s="841"/>
      <c r="P58" s="842"/>
    </row>
    <row r="59" spans="1:17" ht="13.5" customHeight="1">
      <c r="A59" s="875"/>
      <c r="B59" s="882"/>
      <c r="C59" s="875"/>
      <c r="D59" s="882"/>
      <c r="F59" s="869"/>
      <c r="G59" s="841"/>
      <c r="P59" s="842"/>
    </row>
    <row r="60" spans="1:17" ht="13.5" customHeight="1">
      <c r="A60" s="888" t="s">
        <v>473</v>
      </c>
      <c r="B60" s="880"/>
      <c r="C60" s="957" t="s">
        <v>474</v>
      </c>
      <c r="D60" s="958"/>
      <c r="F60" s="869"/>
      <c r="G60" s="841"/>
      <c r="P60" s="842"/>
    </row>
    <row r="61" spans="1:17" s="889" customFormat="1" ht="13.5" customHeight="1">
      <c r="A61" s="872" t="s">
        <v>463</v>
      </c>
      <c r="B61" s="915" t="s">
        <v>1424</v>
      </c>
      <c r="C61" s="872" t="s">
        <v>463</v>
      </c>
      <c r="D61" s="915" t="s">
        <v>1392</v>
      </c>
      <c r="E61" s="831"/>
      <c r="F61" s="885"/>
      <c r="G61" s="886"/>
      <c r="H61" s="887"/>
      <c r="I61" s="887"/>
      <c r="J61" s="887"/>
      <c r="K61" s="887"/>
      <c r="L61" s="887"/>
      <c r="M61" s="887"/>
      <c r="N61" s="887"/>
      <c r="O61" s="887"/>
      <c r="P61" s="842"/>
      <c r="Q61" s="830"/>
    </row>
    <row r="62" spans="1:17" ht="13.5" customHeight="1">
      <c r="A62" s="872" t="s">
        <v>458</v>
      </c>
      <c r="B62" s="915" t="s">
        <v>1422</v>
      </c>
      <c r="C62" s="872" t="s">
        <v>458</v>
      </c>
      <c r="D62" s="915" t="s">
        <v>1390</v>
      </c>
      <c r="F62" s="869"/>
      <c r="G62" s="841"/>
      <c r="P62" s="842"/>
    </row>
    <row r="63" spans="1:17" ht="13.5" customHeight="1">
      <c r="A63" s="872" t="s">
        <v>464</v>
      </c>
      <c r="B63" s="915" t="s">
        <v>1430</v>
      </c>
      <c r="C63" s="872" t="s">
        <v>464</v>
      </c>
      <c r="D63" s="915" t="s">
        <v>1393</v>
      </c>
      <c r="F63" s="869"/>
      <c r="G63" s="841"/>
      <c r="P63" s="842"/>
    </row>
    <row r="64" spans="1:17" ht="13.5" customHeight="1">
      <c r="A64" s="872" t="s">
        <v>459</v>
      </c>
      <c r="B64" s="915" t="s">
        <v>1391</v>
      </c>
      <c r="C64" s="872" t="s">
        <v>459</v>
      </c>
      <c r="D64" s="915" t="s">
        <v>1391</v>
      </c>
      <c r="F64" s="869"/>
      <c r="G64" s="841"/>
      <c r="P64" s="842"/>
    </row>
    <row r="65" spans="1:17" ht="13.5" customHeight="1">
      <c r="A65" s="874" t="s">
        <v>465</v>
      </c>
      <c r="B65" s="919" t="s">
        <v>1423</v>
      </c>
      <c r="C65" s="874" t="s">
        <v>465</v>
      </c>
      <c r="D65" s="918" t="s">
        <v>1394</v>
      </c>
      <c r="F65" s="869"/>
      <c r="G65" s="841"/>
      <c r="P65" s="842"/>
    </row>
    <row r="66" spans="1:17" ht="13.5" customHeight="1">
      <c r="A66" s="875"/>
      <c r="B66" s="882"/>
      <c r="C66" s="875"/>
      <c r="D66" s="882"/>
      <c r="F66" s="869"/>
      <c r="G66" s="841"/>
      <c r="P66" s="842"/>
    </row>
    <row r="67" spans="1:17" ht="13.5" customHeight="1">
      <c r="A67" s="957" t="s">
        <v>475</v>
      </c>
      <c r="B67" s="958"/>
      <c r="C67" s="961"/>
      <c r="D67" s="962"/>
      <c r="F67" s="869"/>
      <c r="G67" s="841"/>
      <c r="P67" s="842"/>
    </row>
    <row r="68" spans="1:17" s="889" customFormat="1" ht="13.5" customHeight="1">
      <c r="A68" s="872" t="s">
        <v>463</v>
      </c>
      <c r="B68" s="915" t="s">
        <v>1395</v>
      </c>
      <c r="C68" s="890"/>
      <c r="D68" s="891"/>
      <c r="E68" s="831"/>
      <c r="F68" s="885"/>
      <c r="G68" s="886"/>
      <c r="H68" s="887"/>
      <c r="I68" s="887"/>
      <c r="J68" s="887"/>
      <c r="K68" s="887"/>
      <c r="L68" s="887"/>
      <c r="M68" s="887"/>
      <c r="N68" s="887"/>
      <c r="O68" s="887"/>
      <c r="P68" s="842"/>
      <c r="Q68" s="830"/>
    </row>
    <row r="69" spans="1:17" ht="13.5" customHeight="1">
      <c r="A69" s="872" t="s">
        <v>458</v>
      </c>
      <c r="B69" s="915" t="s">
        <v>1396</v>
      </c>
      <c r="C69" s="890"/>
      <c r="D69" s="891"/>
      <c r="F69" s="869"/>
      <c r="G69" s="841"/>
      <c r="P69" s="842"/>
    </row>
    <row r="70" spans="1:17" ht="13.5" customHeight="1">
      <c r="A70" s="872" t="s">
        <v>464</v>
      </c>
      <c r="B70" s="915" t="s">
        <v>1397</v>
      </c>
      <c r="C70" s="890"/>
      <c r="D70" s="891"/>
      <c r="F70" s="869"/>
      <c r="G70" s="841"/>
      <c r="P70" s="842"/>
    </row>
    <row r="71" spans="1:17" ht="13.5" customHeight="1">
      <c r="A71" s="872" t="s">
        <v>459</v>
      </c>
      <c r="B71" s="915" t="s">
        <v>1391</v>
      </c>
      <c r="C71" s="890"/>
      <c r="D71" s="891"/>
      <c r="F71" s="869"/>
      <c r="G71" s="841"/>
      <c r="P71" s="842"/>
    </row>
    <row r="72" spans="1:17" ht="13.5" customHeight="1">
      <c r="A72" s="872" t="s">
        <v>465</v>
      </c>
      <c r="B72" s="919" t="s">
        <v>1398</v>
      </c>
      <c r="C72" s="890"/>
      <c r="D72" s="891"/>
      <c r="F72" s="869"/>
      <c r="G72" s="841"/>
      <c r="P72" s="842"/>
    </row>
    <row r="73" spans="1:17" ht="13.5" customHeight="1">
      <c r="A73" s="957" t="s">
        <v>475</v>
      </c>
      <c r="B73" s="958"/>
      <c r="C73" s="959"/>
      <c r="D73" s="960"/>
      <c r="F73" s="869"/>
      <c r="G73" s="841"/>
      <c r="P73" s="842"/>
    </row>
    <row r="74" spans="1:17" ht="13.5" customHeight="1">
      <c r="A74" s="872" t="s">
        <v>463</v>
      </c>
      <c r="B74" s="915" t="s">
        <v>1407</v>
      </c>
      <c r="C74" s="890"/>
      <c r="D74" s="891"/>
      <c r="F74" s="869"/>
      <c r="G74" s="841"/>
      <c r="P74" s="842"/>
    </row>
    <row r="75" spans="1:17" ht="13.5" customHeight="1">
      <c r="A75" s="872" t="s">
        <v>458</v>
      </c>
      <c r="B75" s="915" t="s">
        <v>1396</v>
      </c>
      <c r="C75" s="890"/>
      <c r="D75" s="891"/>
      <c r="F75" s="869"/>
      <c r="G75" s="841"/>
      <c r="P75" s="842"/>
    </row>
    <row r="76" spans="1:17" s="830" customFormat="1" ht="13.5" customHeight="1">
      <c r="A76" s="872" t="s">
        <v>464</v>
      </c>
      <c r="B76" s="915" t="s">
        <v>1408</v>
      </c>
      <c r="C76" s="890"/>
      <c r="D76" s="891"/>
      <c r="E76" s="829"/>
      <c r="F76" s="869"/>
      <c r="G76" s="841"/>
      <c r="P76" s="842"/>
    </row>
    <row r="77" spans="1:17" s="830" customFormat="1" ht="13.5" customHeight="1">
      <c r="A77" s="872" t="s">
        <v>459</v>
      </c>
      <c r="B77" s="915" t="s">
        <v>1391</v>
      </c>
      <c r="C77" s="890"/>
      <c r="D77" s="891"/>
      <c r="E77" s="829"/>
      <c r="F77" s="869"/>
      <c r="G77" s="841"/>
      <c r="P77" s="842"/>
    </row>
    <row r="78" spans="1:17" s="830" customFormat="1" ht="13.5" customHeight="1">
      <c r="A78" s="872" t="s">
        <v>465</v>
      </c>
      <c r="B78" s="919" t="s">
        <v>1409</v>
      </c>
      <c r="C78" s="890"/>
      <c r="D78" s="891"/>
      <c r="E78" s="829"/>
      <c r="F78" s="869"/>
      <c r="G78" s="841"/>
      <c r="P78" s="842"/>
    </row>
    <row r="79" spans="1:17" s="830" customFormat="1" ht="13.5" customHeight="1">
      <c r="A79" s="957" t="s">
        <v>475</v>
      </c>
      <c r="B79" s="958"/>
      <c r="C79" s="959"/>
      <c r="D79" s="960"/>
      <c r="E79" s="829"/>
      <c r="F79" s="869"/>
      <c r="G79" s="841"/>
      <c r="P79" s="842"/>
    </row>
    <row r="80" spans="1:17" s="830" customFormat="1" ht="13.5" customHeight="1">
      <c r="A80" s="872" t="s">
        <v>463</v>
      </c>
      <c r="B80" s="915"/>
      <c r="C80" s="890"/>
      <c r="D80" s="891"/>
      <c r="E80" s="829"/>
      <c r="F80" s="869"/>
      <c r="G80" s="841"/>
      <c r="P80" s="842"/>
    </row>
    <row r="81" spans="1:25" s="830" customFormat="1" ht="13.5" customHeight="1">
      <c r="A81" s="872" t="s">
        <v>458</v>
      </c>
      <c r="B81" s="915"/>
      <c r="C81" s="890"/>
      <c r="D81" s="891"/>
      <c r="E81" s="829"/>
      <c r="F81" s="869"/>
      <c r="G81" s="841"/>
      <c r="P81" s="842"/>
    </row>
    <row r="82" spans="1:25" s="830" customFormat="1" ht="13.5" customHeight="1">
      <c r="A82" s="872" t="s">
        <v>464</v>
      </c>
      <c r="B82" s="915"/>
      <c r="C82" s="890"/>
      <c r="D82" s="891"/>
      <c r="E82" s="829"/>
      <c r="F82" s="869"/>
      <c r="G82" s="841"/>
      <c r="P82" s="842"/>
    </row>
    <row r="83" spans="1:25" s="830" customFormat="1" ht="13.5" customHeight="1">
      <c r="A83" s="872" t="s">
        <v>459</v>
      </c>
      <c r="B83" s="915"/>
      <c r="C83" s="890"/>
      <c r="D83" s="891"/>
      <c r="E83" s="829"/>
      <c r="F83" s="869"/>
      <c r="G83" s="841"/>
      <c r="P83" s="842"/>
    </row>
    <row r="84" spans="1:25" s="830" customFormat="1" ht="13.5" customHeight="1">
      <c r="A84" s="872" t="s">
        <v>465</v>
      </c>
      <c r="B84" s="919"/>
      <c r="C84" s="875"/>
      <c r="D84" s="882"/>
      <c r="E84" s="829"/>
      <c r="F84" s="869"/>
      <c r="G84" s="841"/>
      <c r="P84" s="842"/>
    </row>
    <row r="85" spans="1:25" s="830" customFormat="1" ht="12.75" customHeight="1">
      <c r="C85" s="829"/>
      <c r="D85" s="829"/>
      <c r="E85" s="829"/>
      <c r="F85" s="869"/>
      <c r="G85" s="841"/>
      <c r="P85" s="842"/>
    </row>
    <row r="86" spans="1:25" s="830" customFormat="1" ht="12.75" customHeight="1">
      <c r="E86" s="829"/>
      <c r="F86" s="869"/>
      <c r="G86" s="841"/>
      <c r="P86" s="842"/>
    </row>
    <row r="87" spans="1:25" s="830" customFormat="1" ht="12.75" customHeight="1">
      <c r="A87" s="848"/>
      <c r="B87" s="892"/>
      <c r="C87" s="892"/>
      <c r="D87" s="892"/>
      <c r="E87" s="829"/>
      <c r="F87" s="869"/>
      <c r="G87" s="841"/>
      <c r="P87" s="842"/>
    </row>
    <row r="88" spans="1:25" s="830" customFormat="1" ht="12.75" customHeight="1">
      <c r="E88" s="829"/>
      <c r="F88" s="869"/>
      <c r="G88" s="841"/>
      <c r="P88" s="842"/>
    </row>
    <row r="89" spans="1:25" s="892" customFormat="1" ht="12.75" customHeight="1">
      <c r="A89" s="829"/>
      <c r="B89" s="829"/>
      <c r="C89" s="829"/>
      <c r="D89" s="829"/>
      <c r="E89" s="893"/>
      <c r="F89" s="869"/>
      <c r="G89" s="841"/>
      <c r="I89" s="830"/>
      <c r="J89" s="830"/>
      <c r="K89" s="830"/>
      <c r="L89" s="830"/>
      <c r="M89" s="830"/>
      <c r="N89" s="830"/>
      <c r="O89" s="830"/>
      <c r="P89" s="842"/>
      <c r="Q89" s="830"/>
    </row>
    <row r="90" spans="1:25" s="830" customFormat="1" ht="12.75" customHeight="1">
      <c r="A90" s="829"/>
      <c r="B90" s="829"/>
      <c r="C90" s="829"/>
      <c r="D90" s="829"/>
      <c r="E90" s="829"/>
      <c r="F90" s="869"/>
      <c r="G90" s="841"/>
      <c r="P90" s="842"/>
    </row>
    <row r="91" spans="1:25" s="830" customFormat="1" ht="12.75" customHeight="1">
      <c r="A91" s="829"/>
      <c r="B91" s="829"/>
      <c r="C91" s="829"/>
      <c r="D91" s="829"/>
      <c r="E91" s="829"/>
      <c r="F91" s="869"/>
      <c r="G91" s="841"/>
      <c r="P91" s="842"/>
    </row>
    <row r="92" spans="1:25" s="830" customFormat="1" ht="12.75" customHeight="1">
      <c r="A92" s="894"/>
      <c r="B92" s="829"/>
      <c r="C92" s="829"/>
      <c r="D92" s="829"/>
      <c r="E92" s="829"/>
      <c r="P92" s="842"/>
    </row>
    <row r="93" spans="1:25" s="830" customFormat="1" ht="12.75" customHeight="1">
      <c r="A93" s="895"/>
      <c r="B93" s="829"/>
      <c r="C93" s="829"/>
      <c r="D93" s="829"/>
      <c r="E93" s="829"/>
      <c r="P93" s="842"/>
    </row>
    <row r="94" spans="1:25" s="830" customFormat="1" ht="12.75" customHeight="1">
      <c r="A94" s="895"/>
      <c r="B94" s="829"/>
      <c r="C94" s="829"/>
      <c r="D94" s="829"/>
      <c r="E94" s="829"/>
      <c r="P94" s="842"/>
    </row>
    <row r="95" spans="1:25" s="830" customFormat="1" ht="12.75" customHeight="1">
      <c r="A95" s="895"/>
      <c r="B95" s="829"/>
      <c r="C95" s="829"/>
      <c r="D95" s="829"/>
      <c r="E95" s="829"/>
      <c r="P95" s="842"/>
    </row>
    <row r="96" spans="1:25" ht="12.75" customHeight="1">
      <c r="A96" s="895"/>
      <c r="E96" s="896"/>
      <c r="P96" s="842"/>
      <c r="R96" s="897"/>
      <c r="S96" s="897"/>
      <c r="T96" s="897"/>
      <c r="U96" s="897"/>
      <c r="V96" s="897"/>
      <c r="W96" s="897"/>
      <c r="X96" s="897"/>
      <c r="Y96" s="897"/>
    </row>
    <row r="97" spans="1:25" ht="12.75" customHeight="1">
      <c r="A97" s="898"/>
      <c r="B97" s="896"/>
      <c r="C97" s="896"/>
      <c r="D97" s="896"/>
      <c r="E97" s="896"/>
      <c r="P97" s="842"/>
      <c r="R97" s="897"/>
      <c r="S97" s="897"/>
      <c r="T97" s="897"/>
      <c r="U97" s="897"/>
      <c r="V97" s="897"/>
      <c r="W97" s="897"/>
      <c r="X97" s="897"/>
      <c r="Y97" s="897"/>
    </row>
    <row r="98" spans="1:25" ht="12.75" customHeight="1">
      <c r="A98" s="898"/>
      <c r="B98" s="896"/>
      <c r="C98" s="896"/>
      <c r="D98" s="896"/>
      <c r="E98" s="896"/>
      <c r="P98" s="842"/>
      <c r="R98" s="897"/>
      <c r="S98" s="897"/>
      <c r="T98" s="897"/>
      <c r="U98" s="897"/>
      <c r="V98" s="897"/>
      <c r="W98" s="897"/>
      <c r="X98" s="897"/>
      <c r="Y98" s="897"/>
    </row>
    <row r="99" spans="1:25" ht="12.75" customHeight="1">
      <c r="A99" s="898"/>
      <c r="B99" s="896"/>
      <c r="C99" s="896"/>
      <c r="D99" s="896"/>
      <c r="E99" s="896"/>
      <c r="P99" s="842"/>
      <c r="R99" s="897"/>
      <c r="S99" s="897"/>
      <c r="T99" s="897"/>
      <c r="U99" s="897"/>
      <c r="V99" s="897"/>
      <c r="W99" s="897"/>
      <c r="X99" s="897"/>
      <c r="Y99" s="897"/>
    </row>
    <row r="100" spans="1:25" ht="12.75" customHeight="1">
      <c r="A100" s="898"/>
      <c r="B100" s="896"/>
      <c r="C100" s="896"/>
      <c r="D100" s="896"/>
      <c r="E100" s="896"/>
      <c r="P100" s="842"/>
      <c r="R100" s="897"/>
      <c r="S100" s="897"/>
      <c r="T100" s="897"/>
      <c r="U100" s="897"/>
      <c r="V100" s="897"/>
      <c r="W100" s="897"/>
      <c r="X100" s="897"/>
      <c r="Y100" s="897"/>
    </row>
    <row r="101" spans="1:25" ht="12.75" customHeight="1">
      <c r="A101" s="898"/>
      <c r="B101" s="896"/>
      <c r="C101" s="896"/>
      <c r="D101" s="896"/>
      <c r="E101" s="896"/>
      <c r="P101" s="842"/>
      <c r="R101" s="897"/>
      <c r="S101" s="897"/>
      <c r="T101" s="897"/>
      <c r="U101" s="897"/>
      <c r="V101" s="897"/>
      <c r="W101" s="897"/>
      <c r="X101" s="897"/>
      <c r="Y101" s="897"/>
    </row>
    <row r="102" spans="1:25" ht="12.75" customHeight="1">
      <c r="A102" s="898"/>
      <c r="B102" s="896"/>
      <c r="C102" s="896"/>
      <c r="D102" s="896"/>
      <c r="E102" s="896"/>
      <c r="P102" s="842"/>
      <c r="R102" s="897"/>
      <c r="S102" s="897"/>
      <c r="T102" s="897"/>
      <c r="U102" s="897"/>
      <c r="V102" s="897"/>
      <c r="W102" s="897"/>
      <c r="X102" s="897"/>
      <c r="Y102" s="897"/>
    </row>
    <row r="103" spans="1:25" ht="12.75" customHeight="1">
      <c r="A103" s="898"/>
      <c r="B103" s="896"/>
      <c r="C103" s="896"/>
      <c r="D103" s="896"/>
      <c r="E103" s="896"/>
      <c r="P103" s="842"/>
      <c r="R103" s="897"/>
      <c r="S103" s="897"/>
      <c r="T103" s="897"/>
      <c r="U103" s="897"/>
      <c r="V103" s="897"/>
      <c r="W103" s="897"/>
      <c r="X103" s="897"/>
      <c r="Y103" s="897"/>
    </row>
    <row r="104" spans="1:25" ht="12.75" customHeight="1">
      <c r="A104" s="898"/>
      <c r="B104" s="896"/>
      <c r="C104" s="896"/>
      <c r="D104" s="896"/>
      <c r="E104" s="896"/>
      <c r="P104" s="842"/>
      <c r="R104" s="897"/>
      <c r="S104" s="897"/>
      <c r="T104" s="897"/>
      <c r="U104" s="897"/>
      <c r="V104" s="897"/>
      <c r="W104" s="897"/>
      <c r="X104" s="897"/>
      <c r="Y104" s="897"/>
    </row>
    <row r="105" spans="1:25" ht="12.75" customHeight="1">
      <c r="A105" s="898"/>
      <c r="B105" s="896"/>
      <c r="C105" s="896"/>
      <c r="D105" s="896"/>
      <c r="E105" s="896"/>
      <c r="P105" s="842"/>
      <c r="R105" s="897"/>
      <c r="S105" s="897"/>
      <c r="T105" s="897"/>
      <c r="U105" s="897"/>
      <c r="V105" s="897"/>
      <c r="W105" s="897"/>
      <c r="X105" s="897"/>
      <c r="Y105" s="897"/>
    </row>
    <row r="106" spans="1:25" ht="12.75" customHeight="1">
      <c r="A106" s="898"/>
      <c r="B106" s="896"/>
      <c r="C106" s="896"/>
      <c r="D106" s="896"/>
      <c r="E106" s="896"/>
      <c r="P106" s="842"/>
      <c r="R106" s="897"/>
      <c r="S106" s="897"/>
      <c r="T106" s="897"/>
      <c r="U106" s="897"/>
      <c r="V106" s="897"/>
      <c r="W106" s="897"/>
      <c r="X106" s="897"/>
      <c r="Y106" s="897"/>
    </row>
    <row r="107" spans="1:25" ht="12.75" customHeight="1">
      <c r="A107" s="898"/>
      <c r="B107" s="896"/>
      <c r="C107" s="896"/>
      <c r="D107" s="896"/>
      <c r="E107" s="896"/>
      <c r="P107" s="842"/>
      <c r="R107" s="897"/>
      <c r="S107" s="897"/>
      <c r="T107" s="897"/>
      <c r="U107" s="897"/>
      <c r="V107" s="897"/>
      <c r="W107" s="897"/>
      <c r="X107" s="897"/>
      <c r="Y107" s="897"/>
    </row>
    <row r="108" spans="1:25" ht="12.75" customHeight="1">
      <c r="A108" s="898"/>
      <c r="B108" s="896"/>
      <c r="C108" s="896"/>
      <c r="D108" s="896"/>
      <c r="E108" s="896"/>
      <c r="P108" s="842"/>
      <c r="R108" s="897"/>
      <c r="S108" s="897"/>
      <c r="T108" s="897"/>
      <c r="U108" s="897"/>
      <c r="V108" s="897"/>
      <c r="W108" s="897"/>
      <c r="X108" s="897"/>
      <c r="Y108" s="897"/>
    </row>
    <row r="109" spans="1:25" ht="12.75" customHeight="1">
      <c r="A109" s="898"/>
      <c r="B109" s="896"/>
      <c r="C109" s="896"/>
      <c r="D109" s="896"/>
      <c r="E109" s="896"/>
      <c r="P109" s="842"/>
      <c r="R109" s="897"/>
      <c r="S109" s="897"/>
      <c r="T109" s="897"/>
      <c r="U109" s="897"/>
      <c r="V109" s="897"/>
      <c r="W109" s="897"/>
      <c r="X109" s="897"/>
      <c r="Y109" s="897"/>
    </row>
    <row r="110" spans="1:25" ht="12.75" customHeight="1">
      <c r="A110" s="898"/>
      <c r="B110" s="896"/>
      <c r="C110" s="896"/>
      <c r="D110" s="896"/>
      <c r="E110" s="896"/>
      <c r="P110" s="842"/>
      <c r="R110" s="897"/>
      <c r="S110" s="897"/>
      <c r="T110" s="897"/>
      <c r="U110" s="897"/>
      <c r="V110" s="897"/>
      <c r="W110" s="897"/>
      <c r="X110" s="897"/>
      <c r="Y110" s="897"/>
    </row>
    <row r="111" spans="1:25" ht="12.75" customHeight="1">
      <c r="A111" s="898"/>
      <c r="B111" s="896"/>
      <c r="C111" s="896"/>
      <c r="D111" s="896"/>
      <c r="E111" s="896"/>
      <c r="P111" s="842"/>
      <c r="R111" s="897"/>
      <c r="S111" s="897"/>
      <c r="T111" s="897"/>
      <c r="U111" s="897"/>
      <c r="V111" s="897"/>
      <c r="W111" s="897"/>
      <c r="X111" s="897"/>
      <c r="Y111" s="897"/>
    </row>
    <row r="112" spans="1:25" ht="12.75" customHeight="1">
      <c r="A112" s="898"/>
      <c r="B112" s="896"/>
      <c r="C112" s="896"/>
      <c r="D112" s="896"/>
      <c r="E112" s="896"/>
      <c r="P112" s="842"/>
      <c r="R112" s="897"/>
      <c r="S112" s="897"/>
      <c r="T112" s="897"/>
      <c r="U112" s="897"/>
      <c r="V112" s="897"/>
      <c r="W112" s="897"/>
      <c r="X112" s="897"/>
      <c r="Y112" s="897"/>
    </row>
    <row r="113" spans="1:25" ht="12.75" customHeight="1">
      <c r="A113" s="898"/>
      <c r="B113" s="896"/>
      <c r="C113" s="896"/>
      <c r="D113" s="896"/>
      <c r="E113" s="896"/>
      <c r="P113" s="842"/>
      <c r="R113" s="897"/>
      <c r="S113" s="897"/>
      <c r="T113" s="897"/>
      <c r="U113" s="897"/>
      <c r="V113" s="897"/>
      <c r="W113" s="897"/>
      <c r="X113" s="897"/>
      <c r="Y113" s="897"/>
    </row>
    <row r="114" spans="1:25" ht="12.75" customHeight="1">
      <c r="A114" s="898"/>
      <c r="B114" s="896"/>
      <c r="C114" s="896"/>
      <c r="D114" s="896"/>
      <c r="E114" s="896"/>
      <c r="P114" s="842"/>
      <c r="R114" s="897"/>
      <c r="S114" s="897"/>
      <c r="T114" s="897"/>
      <c r="U114" s="897"/>
      <c r="V114" s="897"/>
      <c r="W114" s="897"/>
      <c r="X114" s="897"/>
      <c r="Y114" s="897"/>
    </row>
    <row r="115" spans="1:25" ht="12.75" customHeight="1">
      <c r="A115" s="898"/>
      <c r="B115" s="896"/>
      <c r="C115" s="896"/>
      <c r="D115" s="896"/>
      <c r="E115" s="896"/>
      <c r="P115" s="842"/>
      <c r="R115" s="897"/>
      <c r="S115" s="897"/>
      <c r="T115" s="897"/>
      <c r="U115" s="897"/>
      <c r="V115" s="897"/>
      <c r="W115" s="897"/>
      <c r="X115" s="897"/>
      <c r="Y115" s="897"/>
    </row>
    <row r="116" spans="1:25" ht="12.75" customHeight="1">
      <c r="A116" s="898"/>
      <c r="B116" s="896"/>
      <c r="C116" s="896"/>
      <c r="D116" s="896"/>
      <c r="E116" s="896"/>
      <c r="P116" s="842"/>
      <c r="R116" s="897"/>
      <c r="S116" s="897"/>
      <c r="T116" s="897"/>
      <c r="U116" s="897"/>
      <c r="V116" s="897"/>
      <c r="W116" s="897"/>
      <c r="X116" s="897"/>
      <c r="Y116" s="897"/>
    </row>
    <row r="117" spans="1:25" ht="12.75" customHeight="1">
      <c r="A117" s="898"/>
      <c r="B117" s="896"/>
      <c r="C117" s="896"/>
      <c r="D117" s="896"/>
      <c r="E117" s="896"/>
      <c r="P117" s="842"/>
      <c r="R117" s="897"/>
      <c r="S117" s="897"/>
      <c r="T117" s="897"/>
      <c r="U117" s="897"/>
      <c r="V117" s="897"/>
      <c r="W117" s="897"/>
      <c r="X117" s="897"/>
      <c r="Y117" s="897"/>
    </row>
    <row r="118" spans="1:25" ht="12.75" customHeight="1">
      <c r="A118" s="898"/>
      <c r="B118" s="896"/>
      <c r="C118" s="896"/>
      <c r="D118" s="896"/>
      <c r="E118" s="896"/>
      <c r="P118" s="842"/>
      <c r="R118" s="897"/>
      <c r="S118" s="897"/>
      <c r="T118" s="897"/>
      <c r="U118" s="897"/>
      <c r="V118" s="897"/>
      <c r="W118" s="897"/>
      <c r="X118" s="897"/>
      <c r="Y118" s="897"/>
    </row>
    <row r="119" spans="1:25" ht="12.75" customHeight="1">
      <c r="A119" s="896"/>
      <c r="B119" s="896"/>
      <c r="C119" s="896"/>
      <c r="D119" s="896"/>
      <c r="E119" s="896"/>
      <c r="P119" s="842"/>
      <c r="R119" s="897"/>
      <c r="S119" s="897"/>
      <c r="T119" s="897"/>
      <c r="U119" s="897"/>
      <c r="V119" s="897"/>
      <c r="W119" s="897"/>
      <c r="X119" s="897"/>
      <c r="Y119" s="897"/>
    </row>
    <row r="120" spans="1:25" ht="12.75" customHeight="1">
      <c r="A120" s="896"/>
      <c r="B120" s="896"/>
      <c r="C120" s="896"/>
      <c r="D120" s="896"/>
      <c r="E120" s="896"/>
      <c r="P120" s="842"/>
      <c r="R120" s="897"/>
      <c r="S120" s="897"/>
      <c r="T120" s="897"/>
      <c r="U120" s="897"/>
      <c r="V120" s="897"/>
      <c r="W120" s="897"/>
      <c r="X120" s="897"/>
      <c r="Y120" s="897"/>
    </row>
    <row r="121" spans="1:25" ht="12.75" customHeight="1">
      <c r="A121" s="896"/>
      <c r="B121" s="896"/>
      <c r="C121" s="896"/>
      <c r="D121" s="896"/>
      <c r="E121" s="896"/>
      <c r="P121" s="842"/>
      <c r="R121" s="897"/>
      <c r="S121" s="897"/>
      <c r="T121" s="897"/>
      <c r="U121" s="897"/>
      <c r="V121" s="897"/>
      <c r="W121" s="897"/>
      <c r="X121" s="897"/>
      <c r="Y121" s="897"/>
    </row>
    <row r="122" spans="1:25" ht="12.75" customHeight="1">
      <c r="A122" s="896"/>
      <c r="B122" s="896"/>
      <c r="C122" s="896"/>
      <c r="D122" s="896"/>
      <c r="E122" s="896"/>
      <c r="P122" s="842"/>
      <c r="R122" s="897"/>
      <c r="S122" s="897"/>
      <c r="T122" s="897"/>
      <c r="U122" s="897"/>
      <c r="V122" s="897"/>
      <c r="W122" s="897"/>
      <c r="X122" s="897"/>
      <c r="Y122" s="897"/>
    </row>
    <row r="123" spans="1:25" ht="12.75" customHeight="1">
      <c r="A123" s="896"/>
      <c r="B123" s="896"/>
      <c r="C123" s="896"/>
      <c r="D123" s="896"/>
      <c r="E123" s="896"/>
      <c r="P123" s="842"/>
      <c r="R123" s="897"/>
      <c r="S123" s="897"/>
      <c r="T123" s="897"/>
      <c r="U123" s="897"/>
      <c r="V123" s="897"/>
      <c r="W123" s="897"/>
      <c r="X123" s="897"/>
      <c r="Y123" s="897"/>
    </row>
    <row r="124" spans="1:25" ht="12.75" customHeight="1">
      <c r="A124" s="896"/>
      <c r="B124" s="896"/>
      <c r="C124" s="896"/>
      <c r="D124" s="896"/>
      <c r="E124" s="896"/>
      <c r="P124" s="842"/>
      <c r="R124" s="897"/>
      <c r="S124" s="897"/>
      <c r="T124" s="897"/>
      <c r="U124" s="897"/>
      <c r="V124" s="897"/>
      <c r="W124" s="897"/>
      <c r="X124" s="897"/>
      <c r="Y124" s="897"/>
    </row>
    <row r="125" spans="1:25" ht="12.75" customHeight="1">
      <c r="A125" s="896"/>
      <c r="B125" s="896"/>
      <c r="C125" s="896"/>
      <c r="D125" s="896"/>
      <c r="E125" s="896"/>
      <c r="P125" s="842"/>
      <c r="R125" s="897"/>
      <c r="S125" s="897"/>
      <c r="T125" s="897"/>
      <c r="U125" s="897"/>
      <c r="V125" s="897"/>
      <c r="W125" s="897"/>
      <c r="X125" s="897"/>
      <c r="Y125" s="897"/>
    </row>
    <row r="126" spans="1:25" ht="12.75" customHeight="1">
      <c r="A126" s="896"/>
      <c r="B126" s="896"/>
      <c r="C126" s="896"/>
      <c r="D126" s="896"/>
      <c r="E126" s="896"/>
      <c r="P126" s="842"/>
      <c r="R126" s="897"/>
      <c r="S126" s="897"/>
      <c r="T126" s="897"/>
      <c r="U126" s="897"/>
      <c r="V126" s="897"/>
      <c r="W126" s="897"/>
      <c r="X126" s="897"/>
      <c r="Y126" s="897"/>
    </row>
    <row r="127" spans="1:25" ht="12.75" customHeight="1">
      <c r="A127" s="896"/>
      <c r="B127" s="896"/>
      <c r="C127" s="896"/>
      <c r="D127" s="896"/>
      <c r="E127" s="896"/>
      <c r="P127" s="842"/>
      <c r="R127" s="897"/>
      <c r="S127" s="897"/>
      <c r="T127" s="897"/>
      <c r="U127" s="897"/>
      <c r="V127" s="897"/>
      <c r="W127" s="897"/>
      <c r="X127" s="897"/>
      <c r="Y127" s="897"/>
    </row>
    <row r="128" spans="1:25">
      <c r="A128" s="896"/>
      <c r="B128" s="896"/>
      <c r="C128" s="896"/>
      <c r="D128" s="896"/>
      <c r="E128" s="896"/>
      <c r="P128" s="842"/>
      <c r="R128" s="897"/>
      <c r="S128" s="897"/>
      <c r="T128" s="897"/>
      <c r="U128" s="897"/>
      <c r="V128" s="897"/>
      <c r="W128" s="897"/>
      <c r="X128" s="897"/>
      <c r="Y128" s="897"/>
    </row>
    <row r="129" spans="1:25">
      <c r="A129" s="896"/>
      <c r="B129" s="896"/>
      <c r="C129" s="896"/>
      <c r="D129" s="896"/>
      <c r="E129" s="896"/>
      <c r="P129" s="842"/>
      <c r="R129" s="897"/>
      <c r="S129" s="897"/>
      <c r="T129" s="897"/>
      <c r="U129" s="897"/>
      <c r="V129" s="897"/>
      <c r="W129" s="897"/>
      <c r="X129" s="897"/>
      <c r="Y129" s="897"/>
    </row>
    <row r="130" spans="1:25">
      <c r="A130" s="896"/>
      <c r="B130" s="896"/>
      <c r="C130" s="896"/>
      <c r="D130" s="896"/>
      <c r="E130" s="896"/>
      <c r="P130" s="842"/>
      <c r="R130" s="897"/>
      <c r="S130" s="897"/>
      <c r="T130" s="897"/>
      <c r="U130" s="897"/>
      <c r="V130" s="897"/>
      <c r="W130" s="897"/>
      <c r="X130" s="897"/>
      <c r="Y130" s="897"/>
    </row>
    <row r="131" spans="1:25">
      <c r="A131" s="896"/>
      <c r="B131" s="896"/>
      <c r="C131" s="896"/>
      <c r="D131" s="896"/>
      <c r="E131" s="896"/>
      <c r="P131" s="842"/>
      <c r="R131" s="897"/>
      <c r="S131" s="897"/>
      <c r="T131" s="897"/>
      <c r="U131" s="897"/>
      <c r="V131" s="897"/>
      <c r="W131" s="897"/>
      <c r="X131" s="897"/>
      <c r="Y131" s="897"/>
    </row>
    <row r="132" spans="1:25">
      <c r="A132" s="896"/>
      <c r="B132" s="896"/>
      <c r="C132" s="896"/>
      <c r="D132" s="896"/>
      <c r="E132" s="896"/>
      <c r="P132" s="842"/>
      <c r="R132" s="897"/>
      <c r="S132" s="897"/>
      <c r="T132" s="897"/>
      <c r="U132" s="897"/>
      <c r="V132" s="897"/>
      <c r="W132" s="897"/>
      <c r="X132" s="897"/>
      <c r="Y132" s="897"/>
    </row>
    <row r="133" spans="1:25">
      <c r="A133" s="896"/>
      <c r="B133" s="896"/>
      <c r="C133" s="896"/>
      <c r="D133" s="896"/>
      <c r="E133" s="896"/>
      <c r="P133" s="842"/>
      <c r="R133" s="897"/>
      <c r="S133" s="897"/>
      <c r="T133" s="897"/>
      <c r="U133" s="897"/>
      <c r="V133" s="897"/>
      <c r="W133" s="897"/>
      <c r="X133" s="897"/>
      <c r="Y133" s="897"/>
    </row>
    <row r="134" spans="1:25">
      <c r="A134" s="896"/>
      <c r="B134" s="896"/>
      <c r="C134" s="896"/>
      <c r="D134" s="896"/>
      <c r="E134" s="896"/>
      <c r="P134" s="842"/>
      <c r="R134" s="897"/>
      <c r="S134" s="897"/>
      <c r="T134" s="897"/>
      <c r="U134" s="897"/>
      <c r="V134" s="897"/>
      <c r="W134" s="897"/>
      <c r="X134" s="897"/>
      <c r="Y134" s="897"/>
    </row>
    <row r="135" spans="1:25">
      <c r="A135" s="896"/>
      <c r="B135" s="896"/>
      <c r="C135" s="896"/>
      <c r="D135" s="896"/>
      <c r="E135" s="896"/>
      <c r="P135" s="842"/>
      <c r="R135" s="897"/>
      <c r="S135" s="897"/>
      <c r="T135" s="897"/>
      <c r="U135" s="897"/>
      <c r="V135" s="897"/>
      <c r="W135" s="897"/>
      <c r="X135" s="897"/>
      <c r="Y135" s="897"/>
    </row>
    <row r="136" spans="1:25">
      <c r="A136" s="896"/>
      <c r="B136" s="896"/>
      <c r="C136" s="896"/>
      <c r="D136" s="896"/>
      <c r="E136" s="896"/>
      <c r="P136" s="842"/>
      <c r="R136" s="897"/>
      <c r="S136" s="897"/>
      <c r="T136" s="897"/>
      <c r="U136" s="897"/>
      <c r="V136" s="897"/>
      <c r="W136" s="897"/>
      <c r="X136" s="897"/>
      <c r="Y136" s="897"/>
    </row>
    <row r="137" spans="1:25">
      <c r="A137" s="896"/>
      <c r="B137" s="896"/>
      <c r="C137" s="896"/>
      <c r="D137" s="896"/>
      <c r="E137" s="896"/>
      <c r="P137" s="842"/>
      <c r="R137" s="897"/>
      <c r="S137" s="897"/>
      <c r="T137" s="897"/>
      <c r="U137" s="897"/>
      <c r="V137" s="897"/>
      <c r="W137" s="897"/>
      <c r="X137" s="897"/>
      <c r="Y137" s="897"/>
    </row>
    <row r="138" spans="1:25">
      <c r="A138" s="896"/>
      <c r="B138" s="896"/>
      <c r="C138" s="896"/>
      <c r="D138" s="896"/>
      <c r="E138" s="896"/>
      <c r="P138" s="842"/>
      <c r="R138" s="897"/>
      <c r="S138" s="897"/>
      <c r="T138" s="897"/>
      <c r="U138" s="897"/>
      <c r="V138" s="897"/>
      <c r="W138" s="897"/>
      <c r="X138" s="897"/>
      <c r="Y138" s="897"/>
    </row>
    <row r="139" spans="1:25">
      <c r="A139" s="896"/>
      <c r="B139" s="896"/>
      <c r="C139" s="896"/>
      <c r="D139" s="896"/>
      <c r="E139" s="896"/>
      <c r="P139" s="842"/>
      <c r="R139" s="897"/>
      <c r="S139" s="897"/>
      <c r="T139" s="897"/>
      <c r="U139" s="897"/>
      <c r="V139" s="897"/>
      <c r="W139" s="897"/>
      <c r="X139" s="897"/>
      <c r="Y139" s="897"/>
    </row>
    <row r="140" spans="1:25">
      <c r="A140" s="896"/>
      <c r="B140" s="896"/>
      <c r="C140" s="896"/>
      <c r="D140" s="896"/>
      <c r="E140" s="896"/>
      <c r="P140" s="842"/>
      <c r="R140" s="897"/>
      <c r="S140" s="897"/>
      <c r="T140" s="897"/>
      <c r="U140" s="897"/>
      <c r="V140" s="897"/>
      <c r="W140" s="897"/>
      <c r="X140" s="897"/>
      <c r="Y140" s="897"/>
    </row>
    <row r="141" spans="1:25">
      <c r="A141" s="896"/>
      <c r="B141" s="896"/>
      <c r="C141" s="896"/>
      <c r="D141" s="896"/>
      <c r="E141" s="896"/>
      <c r="P141" s="842"/>
      <c r="R141" s="897"/>
      <c r="S141" s="897"/>
      <c r="T141" s="897"/>
      <c r="U141" s="897"/>
      <c r="V141" s="897"/>
      <c r="W141" s="897"/>
      <c r="X141" s="897"/>
      <c r="Y141" s="897"/>
    </row>
    <row r="142" spans="1:25">
      <c r="A142" s="896"/>
      <c r="B142" s="896"/>
      <c r="C142" s="896"/>
      <c r="D142" s="896"/>
      <c r="E142" s="896"/>
      <c r="P142" s="842"/>
      <c r="R142" s="897"/>
      <c r="S142" s="897"/>
      <c r="T142" s="897"/>
      <c r="U142" s="897"/>
      <c r="V142" s="897"/>
      <c r="W142" s="897"/>
      <c r="X142" s="897"/>
      <c r="Y142" s="897"/>
    </row>
    <row r="143" spans="1:25">
      <c r="A143" s="896"/>
      <c r="B143" s="896"/>
      <c r="C143" s="896"/>
      <c r="D143" s="896"/>
      <c r="E143" s="896"/>
      <c r="P143" s="842"/>
      <c r="R143" s="897"/>
      <c r="S143" s="897"/>
      <c r="T143" s="897"/>
      <c r="U143" s="897"/>
      <c r="V143" s="897"/>
      <c r="W143" s="897"/>
      <c r="X143" s="897"/>
      <c r="Y143" s="897"/>
    </row>
    <row r="144" spans="1:25">
      <c r="A144" s="896"/>
      <c r="B144" s="896"/>
      <c r="C144" s="896"/>
      <c r="D144" s="896"/>
      <c r="E144" s="896"/>
      <c r="P144" s="842"/>
      <c r="R144" s="897"/>
      <c r="S144" s="897"/>
      <c r="T144" s="897"/>
      <c r="U144" s="897"/>
      <c r="V144" s="897"/>
      <c r="W144" s="897"/>
      <c r="X144" s="897"/>
      <c r="Y144" s="897"/>
    </row>
    <row r="145" spans="1:25">
      <c r="A145" s="896"/>
      <c r="B145" s="896"/>
      <c r="C145" s="896"/>
      <c r="D145" s="896"/>
      <c r="E145" s="896"/>
      <c r="P145" s="842"/>
      <c r="R145" s="897"/>
      <c r="S145" s="897"/>
      <c r="T145" s="897"/>
      <c r="U145" s="897"/>
      <c r="V145" s="897"/>
      <c r="W145" s="897"/>
      <c r="X145" s="897"/>
      <c r="Y145" s="897"/>
    </row>
    <row r="146" spans="1:25">
      <c r="A146" s="896"/>
      <c r="B146" s="896"/>
      <c r="C146" s="896"/>
      <c r="D146" s="896"/>
      <c r="E146" s="896"/>
      <c r="P146" s="842"/>
      <c r="R146" s="897"/>
      <c r="S146" s="897"/>
      <c r="T146" s="897"/>
      <c r="U146" s="897"/>
      <c r="V146" s="897"/>
      <c r="W146" s="897"/>
      <c r="X146" s="897"/>
      <c r="Y146" s="897"/>
    </row>
    <row r="147" spans="1:25">
      <c r="A147" s="896"/>
      <c r="B147" s="896"/>
      <c r="C147" s="896"/>
      <c r="D147" s="896"/>
      <c r="E147" s="896"/>
      <c r="P147" s="842"/>
      <c r="R147" s="897"/>
      <c r="S147" s="897"/>
      <c r="T147" s="897"/>
      <c r="U147" s="897"/>
      <c r="V147" s="897"/>
      <c r="W147" s="897"/>
      <c r="X147" s="897"/>
      <c r="Y147" s="897"/>
    </row>
    <row r="148" spans="1:25">
      <c r="A148" s="896"/>
      <c r="B148" s="896"/>
      <c r="C148" s="896"/>
      <c r="D148" s="896"/>
      <c r="E148" s="896"/>
      <c r="P148" s="842"/>
      <c r="R148" s="897"/>
      <c r="S148" s="897"/>
      <c r="T148" s="897"/>
      <c r="U148" s="897"/>
      <c r="V148" s="897"/>
      <c r="W148" s="897"/>
      <c r="X148" s="897"/>
      <c r="Y148" s="897"/>
    </row>
    <row r="149" spans="1:25">
      <c r="A149" s="896"/>
      <c r="B149" s="896"/>
      <c r="C149" s="896"/>
      <c r="D149" s="896"/>
      <c r="E149" s="896"/>
      <c r="P149" s="842"/>
      <c r="R149" s="897"/>
      <c r="S149" s="897"/>
      <c r="T149" s="897"/>
      <c r="U149" s="897"/>
      <c r="V149" s="897"/>
      <c r="W149" s="897"/>
      <c r="X149" s="897"/>
      <c r="Y149" s="897"/>
    </row>
    <row r="150" spans="1:25">
      <c r="A150" s="896"/>
      <c r="B150" s="896"/>
      <c r="C150" s="896"/>
      <c r="D150" s="896"/>
      <c r="E150" s="896"/>
      <c r="P150" s="842"/>
      <c r="R150" s="897"/>
      <c r="S150" s="897"/>
      <c r="T150" s="897"/>
      <c r="U150" s="897"/>
      <c r="V150" s="897"/>
      <c r="W150" s="897"/>
      <c r="X150" s="897"/>
      <c r="Y150" s="897"/>
    </row>
    <row r="151" spans="1:25">
      <c r="A151" s="896"/>
      <c r="B151" s="896"/>
      <c r="C151" s="896"/>
      <c r="D151" s="896"/>
      <c r="E151" s="896"/>
      <c r="P151" s="842"/>
      <c r="R151" s="897"/>
      <c r="S151" s="897"/>
      <c r="T151" s="897"/>
      <c r="U151" s="897"/>
      <c r="V151" s="897"/>
      <c r="W151" s="897"/>
      <c r="X151" s="897"/>
      <c r="Y151" s="897"/>
    </row>
    <row r="152" spans="1:25">
      <c r="A152" s="896"/>
      <c r="B152" s="896"/>
      <c r="C152" s="896"/>
      <c r="D152" s="896"/>
      <c r="E152" s="896"/>
      <c r="P152" s="842"/>
      <c r="R152" s="897"/>
      <c r="S152" s="897"/>
      <c r="T152" s="897"/>
      <c r="U152" s="897"/>
      <c r="V152" s="897"/>
      <c r="W152" s="897"/>
      <c r="X152" s="897"/>
      <c r="Y152" s="897"/>
    </row>
    <row r="153" spans="1:25">
      <c r="A153" s="896"/>
      <c r="B153" s="896"/>
      <c r="C153" s="896"/>
      <c r="D153" s="896"/>
      <c r="E153" s="896"/>
      <c r="P153" s="842"/>
      <c r="R153" s="897"/>
      <c r="S153" s="897"/>
      <c r="T153" s="897"/>
      <c r="U153" s="897"/>
      <c r="V153" s="897"/>
      <c r="W153" s="897"/>
      <c r="X153" s="897"/>
      <c r="Y153" s="897"/>
    </row>
    <row r="154" spans="1:25">
      <c r="A154" s="896"/>
      <c r="B154" s="896"/>
      <c r="C154" s="896"/>
      <c r="D154" s="896"/>
      <c r="E154" s="896"/>
      <c r="P154" s="842"/>
      <c r="R154" s="897"/>
      <c r="S154" s="897"/>
      <c r="T154" s="897"/>
      <c r="U154" s="897"/>
      <c r="V154" s="897"/>
      <c r="W154" s="897"/>
      <c r="X154" s="897"/>
      <c r="Y154" s="897"/>
    </row>
    <row r="155" spans="1:25">
      <c r="A155" s="896"/>
      <c r="B155" s="896"/>
      <c r="C155" s="896"/>
      <c r="D155" s="896"/>
      <c r="E155" s="896"/>
      <c r="P155" s="842"/>
      <c r="R155" s="897"/>
      <c r="S155" s="897"/>
      <c r="T155" s="897"/>
      <c r="U155" s="897"/>
      <c r="V155" s="897"/>
      <c r="W155" s="897"/>
      <c r="X155" s="897"/>
      <c r="Y155" s="897"/>
    </row>
    <row r="156" spans="1:25">
      <c r="A156" s="896"/>
      <c r="B156" s="896"/>
      <c r="C156" s="896"/>
      <c r="D156" s="896"/>
      <c r="E156" s="896"/>
      <c r="P156" s="842"/>
      <c r="R156" s="897"/>
      <c r="S156" s="897"/>
      <c r="T156" s="897"/>
      <c r="U156" s="897"/>
      <c r="V156" s="897"/>
      <c r="W156" s="897"/>
      <c r="X156" s="897"/>
      <c r="Y156" s="897"/>
    </row>
    <row r="157" spans="1:25">
      <c r="A157" s="896"/>
      <c r="B157" s="896"/>
      <c r="C157" s="896"/>
      <c r="D157" s="896"/>
      <c r="E157" s="896"/>
      <c r="P157" s="842"/>
      <c r="R157" s="897"/>
      <c r="S157" s="897"/>
      <c r="T157" s="897"/>
      <c r="U157" s="897"/>
      <c r="V157" s="897"/>
      <c r="W157" s="897"/>
      <c r="X157" s="897"/>
      <c r="Y157" s="897"/>
    </row>
    <row r="158" spans="1:25">
      <c r="A158" s="896"/>
      <c r="B158" s="896"/>
      <c r="C158" s="896"/>
      <c r="D158" s="896"/>
      <c r="E158" s="896"/>
      <c r="P158" s="842"/>
      <c r="R158" s="897"/>
      <c r="S158" s="897"/>
      <c r="T158" s="897"/>
      <c r="U158" s="897"/>
      <c r="V158" s="897"/>
      <c r="W158" s="897"/>
      <c r="X158" s="897"/>
      <c r="Y158" s="897"/>
    </row>
    <row r="159" spans="1:25">
      <c r="A159" s="896"/>
      <c r="B159" s="896"/>
      <c r="C159" s="896"/>
      <c r="D159" s="896"/>
      <c r="E159" s="896"/>
      <c r="P159" s="842"/>
      <c r="R159" s="897"/>
      <c r="S159" s="897"/>
      <c r="T159" s="897"/>
      <c r="U159" s="897"/>
      <c r="V159" s="897"/>
      <c r="W159" s="897"/>
      <c r="X159" s="897"/>
      <c r="Y159" s="897"/>
    </row>
    <row r="160" spans="1:25">
      <c r="A160" s="896"/>
      <c r="B160" s="896"/>
      <c r="C160" s="896"/>
      <c r="D160" s="896"/>
      <c r="E160" s="896"/>
      <c r="P160" s="842"/>
      <c r="R160" s="897"/>
      <c r="S160" s="897"/>
      <c r="T160" s="897"/>
      <c r="U160" s="897"/>
      <c r="V160" s="897"/>
      <c r="W160" s="897"/>
      <c r="X160" s="897"/>
      <c r="Y160" s="897"/>
    </row>
    <row r="161" spans="1:25">
      <c r="A161" s="896"/>
      <c r="B161" s="896"/>
      <c r="C161" s="896"/>
      <c r="D161" s="896"/>
      <c r="E161" s="896"/>
      <c r="P161" s="842"/>
      <c r="R161" s="897"/>
      <c r="S161" s="897"/>
      <c r="T161" s="897"/>
      <c r="U161" s="897"/>
      <c r="V161" s="897"/>
      <c r="W161" s="897"/>
      <c r="X161" s="897"/>
      <c r="Y161" s="897"/>
    </row>
    <row r="162" spans="1:25">
      <c r="A162" s="896"/>
      <c r="B162" s="896"/>
      <c r="C162" s="896"/>
      <c r="D162" s="896"/>
      <c r="E162" s="896"/>
      <c r="P162" s="842"/>
      <c r="R162" s="897"/>
      <c r="S162" s="897"/>
      <c r="T162" s="897"/>
      <c r="U162" s="897"/>
      <c r="V162" s="897"/>
      <c r="W162" s="897"/>
      <c r="X162" s="897"/>
      <c r="Y162" s="897"/>
    </row>
    <row r="163" spans="1:25">
      <c r="A163" s="896"/>
      <c r="B163" s="896"/>
      <c r="C163" s="896"/>
      <c r="D163" s="896"/>
      <c r="E163" s="896"/>
      <c r="P163" s="842"/>
      <c r="R163" s="897"/>
      <c r="S163" s="897"/>
      <c r="T163" s="897"/>
      <c r="U163" s="897"/>
      <c r="V163" s="897"/>
      <c r="W163" s="897"/>
      <c r="X163" s="897"/>
      <c r="Y163" s="897"/>
    </row>
    <row r="164" spans="1:25">
      <c r="A164" s="896"/>
      <c r="B164" s="896"/>
      <c r="C164" s="896"/>
      <c r="D164" s="896"/>
      <c r="E164" s="896"/>
      <c r="P164" s="842"/>
      <c r="R164" s="897"/>
      <c r="S164" s="897"/>
      <c r="T164" s="897"/>
      <c r="U164" s="897"/>
      <c r="V164" s="897"/>
      <c r="W164" s="897"/>
      <c r="X164" s="897"/>
      <c r="Y164" s="897"/>
    </row>
    <row r="165" spans="1:25">
      <c r="A165" s="896"/>
      <c r="B165" s="896"/>
      <c r="C165" s="896"/>
      <c r="D165" s="896"/>
      <c r="E165" s="896"/>
      <c r="P165" s="842"/>
      <c r="R165" s="897"/>
      <c r="S165" s="897"/>
      <c r="T165" s="897"/>
      <c r="U165" s="897"/>
      <c r="V165" s="897"/>
      <c r="W165" s="897"/>
      <c r="X165" s="897"/>
      <c r="Y165" s="897"/>
    </row>
    <row r="166" spans="1:25">
      <c r="A166" s="896"/>
      <c r="B166" s="896"/>
      <c r="C166" s="896"/>
      <c r="D166" s="896"/>
      <c r="E166" s="896"/>
      <c r="P166" s="842"/>
      <c r="R166" s="897"/>
      <c r="S166" s="897"/>
      <c r="T166" s="897"/>
      <c r="U166" s="897"/>
      <c r="V166" s="897"/>
      <c r="W166" s="897"/>
      <c r="X166" s="897"/>
      <c r="Y166" s="897"/>
    </row>
    <row r="167" spans="1:25">
      <c r="A167" s="896"/>
      <c r="B167" s="896"/>
      <c r="C167" s="896"/>
      <c r="D167" s="896"/>
      <c r="E167" s="896"/>
      <c r="P167" s="842"/>
      <c r="R167" s="897"/>
      <c r="S167" s="897"/>
      <c r="T167" s="897"/>
      <c r="U167" s="897"/>
      <c r="V167" s="897"/>
      <c r="W167" s="897"/>
      <c r="X167" s="897"/>
      <c r="Y167" s="897"/>
    </row>
    <row r="168" spans="1:25">
      <c r="A168" s="896"/>
      <c r="B168" s="896"/>
      <c r="C168" s="896"/>
      <c r="D168" s="896"/>
      <c r="E168" s="896"/>
      <c r="P168" s="842"/>
      <c r="R168" s="897"/>
      <c r="S168" s="897"/>
      <c r="T168" s="897"/>
      <c r="U168" s="897"/>
      <c r="V168" s="897"/>
      <c r="W168" s="897"/>
      <c r="X168" s="897"/>
      <c r="Y168" s="897"/>
    </row>
    <row r="169" spans="1:25">
      <c r="A169" s="896"/>
      <c r="B169" s="896"/>
      <c r="C169" s="896"/>
      <c r="D169" s="896"/>
      <c r="E169" s="896"/>
      <c r="P169" s="842"/>
      <c r="R169" s="897"/>
      <c r="S169" s="897"/>
      <c r="T169" s="897"/>
      <c r="U169" s="897"/>
      <c r="V169" s="897"/>
      <c r="W169" s="897"/>
      <c r="X169" s="897"/>
      <c r="Y169" s="897"/>
    </row>
    <row r="170" spans="1:25">
      <c r="A170" s="896"/>
      <c r="B170" s="896"/>
      <c r="C170" s="896"/>
      <c r="D170" s="896"/>
      <c r="E170" s="896"/>
      <c r="P170" s="842"/>
      <c r="R170" s="897"/>
      <c r="S170" s="897"/>
      <c r="T170" s="897"/>
      <c r="U170" s="897"/>
      <c r="V170" s="897"/>
      <c r="W170" s="897"/>
      <c r="X170" s="897"/>
      <c r="Y170" s="897"/>
    </row>
    <row r="171" spans="1:25">
      <c r="A171" s="896"/>
      <c r="B171" s="896"/>
      <c r="C171" s="896"/>
      <c r="D171" s="896"/>
      <c r="E171" s="896"/>
      <c r="P171" s="842"/>
      <c r="R171" s="897"/>
      <c r="S171" s="897"/>
      <c r="T171" s="897"/>
      <c r="U171" s="897"/>
      <c r="V171" s="897"/>
      <c r="W171" s="897"/>
      <c r="X171" s="897"/>
      <c r="Y171" s="897"/>
    </row>
    <row r="172" spans="1:25">
      <c r="A172" s="896"/>
      <c r="B172" s="896"/>
      <c r="C172" s="896"/>
      <c r="D172" s="896"/>
      <c r="E172" s="896"/>
      <c r="P172" s="842"/>
      <c r="R172" s="897"/>
      <c r="S172" s="897"/>
      <c r="T172" s="897"/>
      <c r="U172" s="897"/>
      <c r="V172" s="897"/>
      <c r="W172" s="897"/>
      <c r="X172" s="897"/>
      <c r="Y172" s="897"/>
    </row>
    <row r="173" spans="1:25">
      <c r="A173" s="896"/>
      <c r="B173" s="896"/>
      <c r="C173" s="896"/>
      <c r="D173" s="896"/>
      <c r="E173" s="896"/>
      <c r="P173" s="842"/>
      <c r="R173" s="897"/>
      <c r="S173" s="897"/>
      <c r="T173" s="897"/>
      <c r="U173" s="897"/>
      <c r="V173" s="897"/>
      <c r="W173" s="897"/>
      <c r="X173" s="897"/>
      <c r="Y173" s="897"/>
    </row>
    <row r="174" spans="1:25">
      <c r="A174" s="896"/>
      <c r="B174" s="896"/>
      <c r="C174" s="896"/>
      <c r="D174" s="896"/>
      <c r="E174" s="896"/>
      <c r="P174" s="842"/>
      <c r="R174" s="897"/>
      <c r="S174" s="897"/>
      <c r="T174" s="897"/>
      <c r="U174" s="897"/>
      <c r="V174" s="897"/>
      <c r="W174" s="897"/>
      <c r="X174" s="897"/>
      <c r="Y174" s="897"/>
    </row>
    <row r="175" spans="1:25">
      <c r="A175" s="896"/>
      <c r="B175" s="896"/>
      <c r="C175" s="896"/>
      <c r="D175" s="896"/>
      <c r="E175" s="896"/>
      <c r="P175" s="842"/>
      <c r="R175" s="897"/>
      <c r="S175" s="897"/>
      <c r="T175" s="897"/>
      <c r="U175" s="897"/>
      <c r="V175" s="897"/>
      <c r="W175" s="897"/>
      <c r="X175" s="897"/>
      <c r="Y175" s="897"/>
    </row>
    <row r="176" spans="1:25">
      <c r="A176" s="896"/>
      <c r="B176" s="896"/>
      <c r="C176" s="896"/>
      <c r="D176" s="896"/>
      <c r="E176" s="896"/>
      <c r="P176" s="842"/>
      <c r="R176" s="897"/>
      <c r="S176" s="897"/>
      <c r="T176" s="897"/>
      <c r="U176" s="897"/>
      <c r="V176" s="897"/>
      <c r="W176" s="897"/>
      <c r="X176" s="897"/>
      <c r="Y176" s="897"/>
    </row>
    <row r="177" spans="1:25">
      <c r="A177" s="896"/>
      <c r="B177" s="896"/>
      <c r="C177" s="896"/>
      <c r="D177" s="896"/>
      <c r="E177" s="896"/>
      <c r="P177" s="842"/>
      <c r="R177" s="897"/>
      <c r="S177" s="897"/>
      <c r="T177" s="897"/>
      <c r="U177" s="897"/>
      <c r="V177" s="897"/>
      <c r="W177" s="897"/>
      <c r="X177" s="897"/>
      <c r="Y177" s="897"/>
    </row>
    <row r="178" spans="1:25">
      <c r="A178" s="896"/>
      <c r="B178" s="896"/>
      <c r="C178" s="896"/>
      <c r="D178" s="896"/>
      <c r="E178" s="896"/>
      <c r="P178" s="842"/>
      <c r="R178" s="897"/>
      <c r="S178" s="897"/>
      <c r="T178" s="897"/>
      <c r="U178" s="897"/>
      <c r="V178" s="897"/>
      <c r="W178" s="897"/>
      <c r="X178" s="897"/>
      <c r="Y178" s="897"/>
    </row>
    <row r="179" spans="1:25">
      <c r="A179" s="896"/>
      <c r="B179" s="896"/>
      <c r="C179" s="896"/>
      <c r="D179" s="896"/>
      <c r="E179" s="896"/>
      <c r="P179" s="842"/>
      <c r="R179" s="897"/>
      <c r="S179" s="897"/>
      <c r="T179" s="897"/>
      <c r="U179" s="897"/>
      <c r="V179" s="897"/>
      <c r="W179" s="897"/>
      <c r="X179" s="897"/>
      <c r="Y179" s="897"/>
    </row>
    <row r="180" spans="1:25">
      <c r="A180" s="896"/>
      <c r="B180" s="896"/>
      <c r="C180" s="896"/>
      <c r="D180" s="896"/>
      <c r="E180" s="896"/>
      <c r="P180" s="842"/>
      <c r="R180" s="897"/>
      <c r="S180" s="897"/>
      <c r="T180" s="897"/>
      <c r="U180" s="897"/>
      <c r="V180" s="897"/>
      <c r="W180" s="897"/>
      <c r="X180" s="897"/>
      <c r="Y180" s="897"/>
    </row>
    <row r="181" spans="1:25">
      <c r="A181" s="896"/>
      <c r="B181" s="896"/>
      <c r="C181" s="896"/>
      <c r="D181" s="896"/>
      <c r="E181" s="896"/>
      <c r="P181" s="842"/>
      <c r="R181" s="897"/>
      <c r="S181" s="897"/>
      <c r="T181" s="897"/>
      <c r="U181" s="897"/>
      <c r="V181" s="897"/>
      <c r="W181" s="897"/>
      <c r="X181" s="897"/>
      <c r="Y181" s="897"/>
    </row>
    <row r="182" spans="1:25">
      <c r="A182" s="896"/>
      <c r="B182" s="896"/>
      <c r="C182" s="896"/>
      <c r="D182" s="896"/>
      <c r="E182" s="896"/>
      <c r="P182" s="842"/>
      <c r="R182" s="897"/>
      <c r="S182" s="897"/>
      <c r="T182" s="897"/>
      <c r="U182" s="897"/>
      <c r="V182" s="897"/>
      <c r="W182" s="897"/>
      <c r="X182" s="897"/>
      <c r="Y182" s="897"/>
    </row>
    <row r="183" spans="1:25">
      <c r="A183" s="896"/>
      <c r="B183" s="896"/>
      <c r="C183" s="896"/>
      <c r="D183" s="896"/>
      <c r="E183" s="896"/>
      <c r="P183" s="842"/>
      <c r="R183" s="897"/>
      <c r="S183" s="897"/>
      <c r="T183" s="897"/>
      <c r="U183" s="897"/>
      <c r="V183" s="897"/>
      <c r="W183" s="897"/>
      <c r="X183" s="897"/>
      <c r="Y183" s="897"/>
    </row>
    <row r="184" spans="1:25">
      <c r="A184" s="896"/>
      <c r="B184" s="896"/>
      <c r="C184" s="896"/>
      <c r="D184" s="896"/>
      <c r="E184" s="896"/>
      <c r="P184" s="842"/>
      <c r="R184" s="897"/>
      <c r="S184" s="897"/>
      <c r="T184" s="897"/>
      <c r="U184" s="897"/>
      <c r="V184" s="897"/>
      <c r="W184" s="897"/>
      <c r="X184" s="897"/>
      <c r="Y184" s="897"/>
    </row>
    <row r="185" spans="1:25">
      <c r="A185" s="896"/>
      <c r="B185" s="896"/>
      <c r="C185" s="896"/>
      <c r="D185" s="896"/>
      <c r="E185" s="896"/>
      <c r="P185" s="842"/>
      <c r="R185" s="897"/>
      <c r="S185" s="897"/>
      <c r="T185" s="897"/>
      <c r="U185" s="897"/>
      <c r="V185" s="897"/>
      <c r="W185" s="897"/>
      <c r="X185" s="897"/>
      <c r="Y185" s="897"/>
    </row>
    <row r="186" spans="1:25">
      <c r="A186" s="896"/>
      <c r="B186" s="896"/>
      <c r="C186" s="896"/>
      <c r="D186" s="896"/>
      <c r="E186" s="896"/>
      <c r="P186" s="842"/>
      <c r="R186" s="897"/>
      <c r="S186" s="897"/>
      <c r="T186" s="897"/>
      <c r="U186" s="897"/>
      <c r="V186" s="897"/>
      <c r="W186" s="897"/>
      <c r="X186" s="897"/>
      <c r="Y186" s="897"/>
    </row>
    <row r="187" spans="1:25">
      <c r="A187" s="896"/>
      <c r="B187" s="896"/>
      <c r="C187" s="896"/>
      <c r="D187" s="896"/>
      <c r="E187" s="896"/>
      <c r="P187" s="842"/>
      <c r="R187" s="897"/>
      <c r="S187" s="897"/>
      <c r="T187" s="897"/>
      <c r="U187" s="897"/>
      <c r="V187" s="897"/>
      <c r="W187" s="897"/>
      <c r="X187" s="897"/>
      <c r="Y187" s="897"/>
    </row>
    <row r="188" spans="1:25">
      <c r="A188" s="896"/>
      <c r="B188" s="896"/>
      <c r="C188" s="896"/>
      <c r="D188" s="896"/>
      <c r="E188" s="896"/>
      <c r="P188" s="842"/>
      <c r="R188" s="897"/>
      <c r="S188" s="897"/>
      <c r="T188" s="897"/>
      <c r="U188" s="897"/>
      <c r="V188" s="897"/>
      <c r="W188" s="897"/>
      <c r="X188" s="897"/>
      <c r="Y188" s="897"/>
    </row>
    <row r="189" spans="1:25">
      <c r="A189" s="896"/>
      <c r="B189" s="896"/>
      <c r="C189" s="896"/>
      <c r="D189" s="896"/>
      <c r="E189" s="896"/>
      <c r="P189" s="842"/>
      <c r="R189" s="897"/>
      <c r="S189" s="897"/>
      <c r="T189" s="897"/>
      <c r="U189" s="897"/>
      <c r="V189" s="897"/>
      <c r="W189" s="897"/>
      <c r="X189" s="897"/>
      <c r="Y189" s="897"/>
    </row>
    <row r="190" spans="1:25">
      <c r="A190" s="896"/>
      <c r="B190" s="896"/>
      <c r="C190" s="896"/>
      <c r="D190" s="896"/>
      <c r="E190" s="896"/>
      <c r="P190" s="842"/>
      <c r="R190" s="897"/>
      <c r="S190" s="897"/>
      <c r="T190" s="897"/>
      <c r="U190" s="897"/>
      <c r="V190" s="897"/>
      <c r="W190" s="897"/>
      <c r="X190" s="897"/>
      <c r="Y190" s="897"/>
    </row>
    <row r="191" spans="1:25">
      <c r="A191" s="896"/>
      <c r="B191" s="896"/>
      <c r="C191" s="896"/>
      <c r="D191" s="896"/>
      <c r="E191" s="896"/>
      <c r="P191" s="842"/>
      <c r="R191" s="897"/>
      <c r="S191" s="897"/>
      <c r="T191" s="897"/>
      <c r="U191" s="897"/>
      <c r="V191" s="897"/>
      <c r="W191" s="897"/>
      <c r="X191" s="897"/>
      <c r="Y191" s="897"/>
    </row>
    <row r="192" spans="1:25">
      <c r="A192" s="896"/>
      <c r="B192" s="896"/>
      <c r="C192" s="896"/>
      <c r="D192" s="896"/>
      <c r="E192" s="896"/>
      <c r="P192" s="842"/>
      <c r="R192" s="897"/>
      <c r="S192" s="897"/>
      <c r="T192" s="897"/>
      <c r="U192" s="897"/>
      <c r="V192" s="897"/>
      <c r="W192" s="897"/>
      <c r="X192" s="897"/>
      <c r="Y192" s="897"/>
    </row>
    <row r="193" spans="1:25">
      <c r="A193" s="896"/>
      <c r="B193" s="896"/>
      <c r="C193" s="896"/>
      <c r="D193" s="896"/>
      <c r="E193" s="896"/>
      <c r="P193" s="842"/>
      <c r="R193" s="897"/>
      <c r="S193" s="897"/>
      <c r="T193" s="897"/>
      <c r="U193" s="897"/>
      <c r="V193" s="897"/>
      <c r="W193" s="897"/>
      <c r="X193" s="897"/>
      <c r="Y193" s="897"/>
    </row>
    <row r="194" spans="1:25">
      <c r="A194" s="896"/>
      <c r="B194" s="896"/>
      <c r="C194" s="896"/>
      <c r="D194" s="896"/>
      <c r="E194" s="896"/>
      <c r="P194" s="842"/>
      <c r="R194" s="897"/>
      <c r="S194" s="897"/>
      <c r="T194" s="897"/>
      <c r="U194" s="897"/>
      <c r="V194" s="897"/>
      <c r="W194" s="897"/>
      <c r="X194" s="897"/>
      <c r="Y194" s="897"/>
    </row>
    <row r="195" spans="1:25">
      <c r="A195" s="896"/>
      <c r="B195" s="896"/>
      <c r="C195" s="896"/>
      <c r="D195" s="896"/>
      <c r="E195" s="896"/>
      <c r="P195" s="842"/>
      <c r="R195" s="897"/>
      <c r="S195" s="897"/>
      <c r="T195" s="897"/>
      <c r="U195" s="897"/>
      <c r="V195" s="897"/>
      <c r="W195" s="897"/>
      <c r="X195" s="897"/>
      <c r="Y195" s="897"/>
    </row>
    <row r="196" spans="1:25">
      <c r="A196" s="896"/>
      <c r="B196" s="896"/>
      <c r="C196" s="896"/>
      <c r="D196" s="896"/>
      <c r="E196" s="896"/>
      <c r="P196" s="842"/>
      <c r="R196" s="897"/>
      <c r="S196" s="897"/>
      <c r="T196" s="897"/>
      <c r="U196" s="897"/>
      <c r="V196" s="897"/>
      <c r="W196" s="897"/>
      <c r="X196" s="897"/>
      <c r="Y196" s="897"/>
    </row>
    <row r="197" spans="1:25">
      <c r="A197" s="896"/>
      <c r="B197" s="896"/>
      <c r="C197" s="896"/>
      <c r="D197" s="896"/>
      <c r="E197" s="896"/>
      <c r="P197" s="842"/>
      <c r="R197" s="897"/>
      <c r="S197" s="897"/>
      <c r="T197" s="897"/>
      <c r="U197" s="897"/>
      <c r="V197" s="897"/>
      <c r="W197" s="897"/>
      <c r="X197" s="897"/>
      <c r="Y197" s="897"/>
    </row>
    <row r="198" spans="1:25">
      <c r="A198" s="896"/>
      <c r="B198" s="896"/>
      <c r="C198" s="896"/>
      <c r="D198" s="896"/>
      <c r="E198" s="896"/>
      <c r="P198" s="842"/>
      <c r="R198" s="897"/>
      <c r="S198" s="897"/>
      <c r="T198" s="897"/>
      <c r="U198" s="897"/>
      <c r="V198" s="897"/>
      <c r="W198" s="897"/>
      <c r="X198" s="897"/>
      <c r="Y198" s="897"/>
    </row>
    <row r="199" spans="1:25">
      <c r="A199" s="896"/>
      <c r="B199" s="896"/>
      <c r="C199" s="896"/>
      <c r="D199" s="896"/>
      <c r="E199" s="896"/>
      <c r="P199" s="842"/>
      <c r="R199" s="897"/>
      <c r="S199" s="897"/>
      <c r="T199" s="897"/>
      <c r="U199" s="897"/>
      <c r="V199" s="897"/>
      <c r="W199" s="897"/>
      <c r="X199" s="897"/>
      <c r="Y199" s="897"/>
    </row>
    <row r="200" spans="1:25">
      <c r="A200" s="896"/>
      <c r="B200" s="896"/>
      <c r="C200" s="896"/>
      <c r="D200" s="896"/>
      <c r="E200" s="896"/>
      <c r="P200" s="842"/>
      <c r="R200" s="897"/>
      <c r="S200" s="897"/>
      <c r="T200" s="897"/>
      <c r="U200" s="897"/>
      <c r="V200" s="897"/>
      <c r="W200" s="897"/>
      <c r="X200" s="897"/>
      <c r="Y200" s="897"/>
    </row>
    <row r="201" spans="1:25">
      <c r="A201" s="896"/>
      <c r="B201" s="896"/>
      <c r="C201" s="896"/>
      <c r="D201" s="896"/>
      <c r="E201" s="896"/>
      <c r="P201" s="842"/>
      <c r="R201" s="897"/>
      <c r="S201" s="897"/>
      <c r="T201" s="897"/>
      <c r="U201" s="897"/>
      <c r="V201" s="897"/>
      <c r="W201" s="897"/>
      <c r="X201" s="897"/>
      <c r="Y201" s="897"/>
    </row>
    <row r="202" spans="1:25">
      <c r="A202" s="896"/>
      <c r="B202" s="896"/>
      <c r="C202" s="896"/>
      <c r="D202" s="896"/>
      <c r="E202" s="896"/>
      <c r="P202" s="842"/>
      <c r="R202" s="897"/>
      <c r="S202" s="897"/>
      <c r="T202" s="897"/>
      <c r="U202" s="897"/>
      <c r="V202" s="897"/>
      <c r="W202" s="897"/>
      <c r="X202" s="897"/>
      <c r="Y202" s="897"/>
    </row>
    <row r="203" spans="1:25">
      <c r="A203" s="896"/>
      <c r="B203" s="896"/>
      <c r="C203" s="896"/>
      <c r="D203" s="896"/>
      <c r="E203" s="896"/>
      <c r="P203" s="842"/>
      <c r="R203" s="897"/>
      <c r="S203" s="897"/>
      <c r="T203" s="897"/>
      <c r="U203" s="897"/>
      <c r="V203" s="897"/>
      <c r="W203" s="897"/>
      <c r="X203" s="897"/>
      <c r="Y203" s="897"/>
    </row>
    <row r="204" spans="1:25">
      <c r="A204" s="896"/>
      <c r="B204" s="896"/>
      <c r="C204" s="896"/>
      <c r="D204" s="896"/>
      <c r="E204" s="896"/>
      <c r="P204" s="842"/>
      <c r="R204" s="897"/>
      <c r="S204" s="897"/>
      <c r="T204" s="897"/>
      <c r="U204" s="897"/>
      <c r="V204" s="897"/>
      <c r="W204" s="897"/>
      <c r="X204" s="897"/>
      <c r="Y204" s="897"/>
    </row>
    <row r="205" spans="1:25">
      <c r="A205" s="896"/>
      <c r="B205" s="896"/>
      <c r="C205" s="896"/>
      <c r="D205" s="896"/>
      <c r="E205" s="896"/>
      <c r="P205" s="842"/>
      <c r="R205" s="897"/>
      <c r="S205" s="897"/>
      <c r="T205" s="897"/>
      <c r="U205" s="897"/>
      <c r="V205" s="897"/>
      <c r="W205" s="897"/>
      <c r="X205" s="897"/>
      <c r="Y205" s="897"/>
    </row>
    <row r="206" spans="1:25">
      <c r="A206" s="896"/>
      <c r="B206" s="896"/>
      <c r="C206" s="896"/>
      <c r="D206" s="896"/>
      <c r="E206" s="896"/>
      <c r="P206" s="842"/>
      <c r="R206" s="897"/>
      <c r="S206" s="897"/>
      <c r="T206" s="897"/>
      <c r="U206" s="897"/>
      <c r="V206" s="897"/>
      <c r="W206" s="897"/>
      <c r="X206" s="897"/>
      <c r="Y206" s="897"/>
    </row>
    <row r="207" spans="1:25">
      <c r="A207" s="896"/>
      <c r="B207" s="896"/>
      <c r="C207" s="896"/>
      <c r="D207" s="896"/>
      <c r="E207" s="896"/>
      <c r="P207" s="842"/>
      <c r="R207" s="897"/>
      <c r="S207" s="897"/>
      <c r="T207" s="897"/>
      <c r="U207" s="897"/>
      <c r="V207" s="897"/>
      <c r="W207" s="897"/>
      <c r="X207" s="897"/>
      <c r="Y207" s="897"/>
    </row>
    <row r="208" spans="1:25">
      <c r="A208" s="896"/>
      <c r="B208" s="896"/>
      <c r="C208" s="896"/>
      <c r="D208" s="896"/>
      <c r="E208" s="896"/>
      <c r="P208" s="842"/>
      <c r="R208" s="897"/>
      <c r="S208" s="897"/>
      <c r="T208" s="897"/>
      <c r="U208" s="897"/>
      <c r="V208" s="897"/>
      <c r="W208" s="897"/>
      <c r="X208" s="897"/>
      <c r="Y208" s="897"/>
    </row>
    <row r="209" spans="1:25">
      <c r="A209" s="896"/>
      <c r="B209" s="896"/>
      <c r="C209" s="896"/>
      <c r="D209" s="896"/>
      <c r="E209" s="896"/>
      <c r="P209" s="842"/>
      <c r="R209" s="897"/>
      <c r="S209" s="897"/>
      <c r="T209" s="897"/>
      <c r="U209" s="897"/>
      <c r="V209" s="897"/>
      <c r="W209" s="897"/>
      <c r="X209" s="897"/>
      <c r="Y209" s="897"/>
    </row>
    <row r="210" spans="1:25">
      <c r="A210" s="896"/>
      <c r="B210" s="896"/>
      <c r="C210" s="896"/>
      <c r="D210" s="896"/>
      <c r="E210" s="896"/>
      <c r="P210" s="842"/>
      <c r="R210" s="897"/>
      <c r="S210" s="897"/>
      <c r="T210" s="897"/>
      <c r="U210" s="897"/>
      <c r="V210" s="897"/>
      <c r="W210" s="897"/>
      <c r="X210" s="897"/>
      <c r="Y210" s="897"/>
    </row>
    <row r="211" spans="1:25">
      <c r="A211" s="896"/>
      <c r="B211" s="896"/>
      <c r="C211" s="896"/>
      <c r="D211" s="896"/>
      <c r="E211" s="896"/>
      <c r="P211" s="842"/>
      <c r="R211" s="897"/>
      <c r="S211" s="897"/>
      <c r="T211" s="897"/>
      <c r="U211" s="897"/>
      <c r="V211" s="897"/>
      <c r="W211" s="897"/>
      <c r="X211" s="897"/>
      <c r="Y211" s="897"/>
    </row>
    <row r="212" spans="1:25">
      <c r="A212" s="896"/>
      <c r="B212" s="896"/>
      <c r="C212" s="896"/>
      <c r="D212" s="896"/>
      <c r="E212" s="896"/>
      <c r="P212" s="842"/>
      <c r="R212" s="897"/>
      <c r="S212" s="897"/>
      <c r="T212" s="897"/>
      <c r="U212" s="897"/>
      <c r="V212" s="897"/>
      <c r="W212" s="897"/>
      <c r="X212" s="897"/>
      <c r="Y212" s="897"/>
    </row>
    <row r="213" spans="1:25">
      <c r="A213" s="896"/>
      <c r="B213" s="896"/>
      <c r="C213" s="896"/>
      <c r="D213" s="896"/>
      <c r="E213" s="896"/>
      <c r="P213" s="842"/>
      <c r="R213" s="897"/>
      <c r="S213" s="897"/>
      <c r="T213" s="897"/>
      <c r="U213" s="897"/>
      <c r="V213" s="897"/>
      <c r="W213" s="897"/>
      <c r="X213" s="897"/>
      <c r="Y213" s="897"/>
    </row>
    <row r="214" spans="1:25">
      <c r="A214" s="896"/>
      <c r="B214" s="896"/>
      <c r="C214" s="896"/>
      <c r="D214" s="896"/>
      <c r="E214" s="896"/>
      <c r="P214" s="842"/>
      <c r="R214" s="897"/>
      <c r="S214" s="897"/>
      <c r="T214" s="897"/>
      <c r="U214" s="897"/>
      <c r="V214" s="897"/>
      <c r="W214" s="897"/>
      <c r="X214" s="897"/>
      <c r="Y214" s="897"/>
    </row>
    <row r="215" spans="1:25">
      <c r="A215" s="896"/>
      <c r="B215" s="896"/>
      <c r="C215" s="896"/>
      <c r="D215" s="896"/>
      <c r="E215" s="896"/>
      <c r="P215" s="842"/>
      <c r="R215" s="897"/>
      <c r="S215" s="897"/>
      <c r="T215" s="897"/>
      <c r="U215" s="897"/>
      <c r="V215" s="897"/>
      <c r="W215" s="897"/>
      <c r="X215" s="897"/>
      <c r="Y215" s="897"/>
    </row>
    <row r="216" spans="1:25">
      <c r="A216" s="896"/>
      <c r="B216" s="896"/>
      <c r="C216" s="896"/>
      <c r="D216" s="896"/>
      <c r="E216" s="896"/>
      <c r="P216" s="842"/>
      <c r="R216" s="897"/>
      <c r="S216" s="897"/>
      <c r="T216" s="897"/>
      <c r="U216" s="897"/>
      <c r="V216" s="897"/>
      <c r="W216" s="897"/>
      <c r="X216" s="897"/>
      <c r="Y216" s="897"/>
    </row>
    <row r="217" spans="1:25">
      <c r="A217" s="896"/>
      <c r="B217" s="896"/>
      <c r="C217" s="896"/>
      <c r="D217" s="896"/>
      <c r="E217" s="896"/>
      <c r="P217" s="842"/>
      <c r="R217" s="897"/>
      <c r="S217" s="897"/>
      <c r="T217" s="897"/>
      <c r="U217" s="897"/>
      <c r="V217" s="897"/>
      <c r="W217" s="897"/>
      <c r="X217" s="897"/>
      <c r="Y217" s="897"/>
    </row>
    <row r="218" spans="1:25">
      <c r="A218" s="896"/>
      <c r="B218" s="896"/>
      <c r="C218" s="896"/>
      <c r="D218" s="896"/>
      <c r="E218" s="896"/>
      <c r="P218" s="842"/>
      <c r="R218" s="897"/>
      <c r="S218" s="897"/>
      <c r="T218" s="897"/>
      <c r="U218" s="897"/>
      <c r="V218" s="897"/>
      <c r="W218" s="897"/>
      <c r="X218" s="897"/>
      <c r="Y218" s="897"/>
    </row>
    <row r="219" spans="1:25">
      <c r="A219" s="896"/>
      <c r="B219" s="896"/>
      <c r="C219" s="896"/>
      <c r="D219" s="896"/>
      <c r="E219" s="896"/>
      <c r="P219" s="842"/>
      <c r="R219" s="897"/>
      <c r="S219" s="897"/>
      <c r="T219" s="897"/>
      <c r="U219" s="897"/>
      <c r="V219" s="897"/>
      <c r="W219" s="897"/>
      <c r="X219" s="897"/>
      <c r="Y219" s="897"/>
    </row>
    <row r="220" spans="1:25">
      <c r="A220" s="896"/>
      <c r="B220" s="896"/>
      <c r="C220" s="896"/>
      <c r="D220" s="896"/>
      <c r="E220" s="896"/>
      <c r="P220" s="842"/>
      <c r="R220" s="897"/>
      <c r="S220" s="897"/>
      <c r="T220" s="897"/>
      <c r="U220" s="897"/>
      <c r="V220" s="897"/>
      <c r="W220" s="897"/>
      <c r="X220" s="897"/>
      <c r="Y220" s="897"/>
    </row>
    <row r="221" spans="1:25">
      <c r="A221" s="896"/>
      <c r="B221" s="896"/>
      <c r="C221" s="896"/>
      <c r="D221" s="896"/>
      <c r="E221" s="896"/>
      <c r="P221" s="842"/>
      <c r="R221" s="897"/>
      <c r="S221" s="897"/>
      <c r="T221" s="897"/>
      <c r="U221" s="897"/>
      <c r="V221" s="897"/>
      <c r="W221" s="897"/>
      <c r="X221" s="897"/>
      <c r="Y221" s="897"/>
    </row>
    <row r="222" spans="1:25">
      <c r="A222" s="896"/>
      <c r="B222" s="896"/>
      <c r="C222" s="896"/>
      <c r="D222" s="896"/>
      <c r="E222" s="896"/>
      <c r="P222" s="842"/>
      <c r="R222" s="897"/>
      <c r="S222" s="897"/>
      <c r="T222" s="897"/>
      <c r="U222" s="897"/>
      <c r="V222" s="897"/>
      <c r="W222" s="897"/>
      <c r="X222" s="897"/>
      <c r="Y222" s="897"/>
    </row>
    <row r="223" spans="1:25">
      <c r="A223" s="896"/>
      <c r="B223" s="896"/>
      <c r="C223" s="896"/>
      <c r="D223" s="896"/>
      <c r="E223" s="896"/>
      <c r="P223" s="842"/>
      <c r="R223" s="897"/>
      <c r="S223" s="897"/>
      <c r="T223" s="897"/>
      <c r="U223" s="897"/>
      <c r="V223" s="897"/>
      <c r="W223" s="897"/>
      <c r="X223" s="897"/>
      <c r="Y223" s="897"/>
    </row>
    <row r="224" spans="1:25">
      <c r="A224" s="896"/>
      <c r="B224" s="896"/>
      <c r="C224" s="896"/>
      <c r="D224" s="896"/>
      <c r="E224" s="896"/>
      <c r="P224" s="842"/>
      <c r="R224" s="897"/>
      <c r="S224" s="897"/>
      <c r="T224" s="897"/>
      <c r="U224" s="897"/>
      <c r="V224" s="897"/>
      <c r="W224" s="897"/>
      <c r="X224" s="897"/>
      <c r="Y224" s="897"/>
    </row>
    <row r="225" spans="1:25">
      <c r="A225" s="896"/>
      <c r="B225" s="896"/>
      <c r="C225" s="896"/>
      <c r="D225" s="896"/>
      <c r="E225" s="896"/>
      <c r="P225" s="842"/>
      <c r="R225" s="897"/>
      <c r="S225" s="897"/>
      <c r="T225" s="897"/>
      <c r="U225" s="897"/>
      <c r="V225" s="897"/>
      <c r="W225" s="897"/>
      <c r="X225" s="897"/>
      <c r="Y225" s="897"/>
    </row>
    <row r="226" spans="1:25">
      <c r="A226" s="896"/>
      <c r="B226" s="896"/>
      <c r="C226" s="896"/>
      <c r="D226" s="896"/>
      <c r="E226" s="896"/>
      <c r="P226" s="842"/>
      <c r="R226" s="897"/>
      <c r="S226" s="897"/>
      <c r="T226" s="897"/>
      <c r="U226" s="897"/>
      <c r="V226" s="897"/>
      <c r="W226" s="897"/>
      <c r="X226" s="897"/>
      <c r="Y226" s="897"/>
    </row>
    <row r="227" spans="1:25">
      <c r="A227" s="896"/>
      <c r="B227" s="896"/>
      <c r="C227" s="896"/>
      <c r="D227" s="896"/>
      <c r="E227" s="896"/>
      <c r="P227" s="842"/>
      <c r="R227" s="897"/>
      <c r="S227" s="897"/>
      <c r="T227" s="897"/>
      <c r="U227" s="897"/>
      <c r="V227" s="897"/>
      <c r="W227" s="897"/>
      <c r="X227" s="897"/>
      <c r="Y227" s="897"/>
    </row>
    <row r="228" spans="1:25">
      <c r="A228" s="896"/>
      <c r="B228" s="896"/>
      <c r="C228" s="896"/>
      <c r="D228" s="896"/>
      <c r="E228" s="896"/>
      <c r="P228" s="842"/>
      <c r="R228" s="897"/>
      <c r="S228" s="897"/>
      <c r="T228" s="897"/>
      <c r="U228" s="897"/>
      <c r="V228" s="897"/>
      <c r="W228" s="897"/>
      <c r="X228" s="897"/>
      <c r="Y228" s="897"/>
    </row>
    <row r="229" spans="1:25">
      <c r="A229" s="896"/>
      <c r="B229" s="896"/>
      <c r="C229" s="896"/>
      <c r="D229" s="896"/>
      <c r="E229" s="896"/>
      <c r="P229" s="842"/>
      <c r="R229" s="897"/>
      <c r="S229" s="897"/>
      <c r="T229" s="897"/>
      <c r="U229" s="897"/>
      <c r="V229" s="897"/>
      <c r="W229" s="897"/>
      <c r="X229" s="897"/>
      <c r="Y229" s="897"/>
    </row>
    <row r="230" spans="1:25">
      <c r="A230" s="896"/>
      <c r="B230" s="896"/>
      <c r="C230" s="896"/>
      <c r="D230" s="896"/>
      <c r="E230" s="896"/>
      <c r="P230" s="842"/>
      <c r="R230" s="897"/>
      <c r="S230" s="897"/>
      <c r="T230" s="897"/>
      <c r="U230" s="897"/>
      <c r="V230" s="897"/>
      <c r="W230" s="897"/>
      <c r="X230" s="897"/>
      <c r="Y230" s="897"/>
    </row>
    <row r="231" spans="1:25">
      <c r="A231" s="896"/>
      <c r="B231" s="896"/>
      <c r="C231" s="896"/>
      <c r="D231" s="896"/>
      <c r="E231" s="896"/>
      <c r="P231" s="842"/>
      <c r="R231" s="897"/>
      <c r="S231" s="897"/>
      <c r="T231" s="897"/>
      <c r="U231" s="897"/>
      <c r="V231" s="897"/>
      <c r="W231" s="897"/>
      <c r="X231" s="897"/>
      <c r="Y231" s="897"/>
    </row>
    <row r="232" spans="1:25">
      <c r="A232" s="896"/>
      <c r="B232" s="896"/>
      <c r="C232" s="896"/>
      <c r="D232" s="896"/>
      <c r="E232" s="896"/>
      <c r="P232" s="842"/>
      <c r="R232" s="897"/>
      <c r="S232" s="897"/>
      <c r="T232" s="897"/>
      <c r="U232" s="897"/>
      <c r="V232" s="897"/>
      <c r="W232" s="897"/>
      <c r="X232" s="897"/>
      <c r="Y232" s="897"/>
    </row>
    <row r="233" spans="1:25">
      <c r="A233" s="896"/>
      <c r="B233" s="896"/>
      <c r="C233" s="896"/>
      <c r="D233" s="896"/>
      <c r="E233" s="896"/>
      <c r="P233" s="842"/>
      <c r="R233" s="897"/>
      <c r="S233" s="897"/>
      <c r="T233" s="897"/>
      <c r="U233" s="897"/>
      <c r="V233" s="897"/>
      <c r="W233" s="897"/>
      <c r="X233" s="897"/>
      <c r="Y233" s="897"/>
    </row>
    <row r="234" spans="1:25">
      <c r="A234" s="896"/>
      <c r="B234" s="896"/>
      <c r="C234" s="896"/>
      <c r="D234" s="896"/>
      <c r="E234" s="896"/>
      <c r="P234" s="842"/>
      <c r="R234" s="897"/>
      <c r="S234" s="897"/>
      <c r="T234" s="897"/>
      <c r="U234" s="897"/>
      <c r="V234" s="897"/>
      <c r="W234" s="897"/>
      <c r="X234" s="897"/>
      <c r="Y234" s="897"/>
    </row>
    <row r="235" spans="1:25">
      <c r="A235" s="896"/>
      <c r="B235" s="896"/>
      <c r="C235" s="896"/>
      <c r="D235" s="896"/>
      <c r="E235" s="896"/>
      <c r="P235" s="842"/>
      <c r="R235" s="897"/>
      <c r="S235" s="897"/>
      <c r="T235" s="897"/>
      <c r="U235" s="897"/>
      <c r="V235" s="897"/>
      <c r="W235" s="897"/>
      <c r="X235" s="897"/>
      <c r="Y235" s="897"/>
    </row>
    <row r="236" spans="1:25">
      <c r="A236" s="896"/>
      <c r="B236" s="896"/>
      <c r="C236" s="896"/>
      <c r="D236" s="896"/>
      <c r="E236" s="896"/>
      <c r="P236" s="842"/>
      <c r="R236" s="897"/>
      <c r="S236" s="897"/>
      <c r="T236" s="897"/>
      <c r="U236" s="897"/>
      <c r="V236" s="897"/>
      <c r="W236" s="897"/>
      <c r="X236" s="897"/>
      <c r="Y236" s="897"/>
    </row>
    <row r="237" spans="1:25">
      <c r="A237" s="896"/>
      <c r="B237" s="896"/>
      <c r="C237" s="896"/>
      <c r="D237" s="896"/>
      <c r="E237" s="896"/>
      <c r="P237" s="842"/>
      <c r="R237" s="897"/>
      <c r="S237" s="897"/>
      <c r="T237" s="897"/>
      <c r="U237" s="897"/>
      <c r="V237" s="897"/>
      <c r="W237" s="897"/>
      <c r="X237" s="897"/>
      <c r="Y237" s="897"/>
    </row>
    <row r="238" spans="1:25">
      <c r="A238" s="896"/>
      <c r="B238" s="896"/>
      <c r="C238" s="896"/>
      <c r="D238" s="896"/>
      <c r="E238" s="896"/>
      <c r="P238" s="842"/>
      <c r="R238" s="897"/>
      <c r="S238" s="897"/>
      <c r="T238" s="897"/>
      <c r="U238" s="897"/>
      <c r="V238" s="897"/>
      <c r="W238" s="897"/>
      <c r="X238" s="897"/>
      <c r="Y238" s="897"/>
    </row>
    <row r="239" spans="1:25">
      <c r="A239" s="896"/>
      <c r="B239" s="896"/>
      <c r="C239" s="896"/>
      <c r="D239" s="896"/>
      <c r="E239" s="896"/>
      <c r="P239" s="842"/>
      <c r="R239" s="897"/>
      <c r="S239" s="897"/>
      <c r="T239" s="897"/>
      <c r="U239" s="897"/>
      <c r="V239" s="897"/>
      <c r="W239" s="897"/>
      <c r="X239" s="897"/>
      <c r="Y239" s="897"/>
    </row>
    <row r="240" spans="1:25">
      <c r="A240" s="896"/>
      <c r="B240" s="896"/>
      <c r="C240" s="896"/>
      <c r="D240" s="896"/>
      <c r="E240" s="896"/>
      <c r="P240" s="842"/>
      <c r="R240" s="897"/>
      <c r="S240" s="897"/>
      <c r="T240" s="897"/>
      <c r="U240" s="897"/>
      <c r="V240" s="897"/>
      <c r="W240" s="897"/>
      <c r="X240" s="897"/>
      <c r="Y240" s="897"/>
    </row>
    <row r="241" spans="1:25">
      <c r="A241" s="896"/>
      <c r="B241" s="896"/>
      <c r="C241" s="896"/>
      <c r="D241" s="896"/>
      <c r="E241" s="896"/>
      <c r="P241" s="842"/>
      <c r="R241" s="897"/>
      <c r="S241" s="897"/>
      <c r="T241" s="897"/>
      <c r="U241" s="897"/>
      <c r="V241" s="897"/>
      <c r="W241" s="897"/>
      <c r="X241" s="897"/>
      <c r="Y241" s="897"/>
    </row>
    <row r="242" spans="1:25">
      <c r="A242" s="896"/>
      <c r="B242" s="896"/>
      <c r="C242" s="896"/>
      <c r="D242" s="896"/>
      <c r="E242" s="896"/>
      <c r="P242" s="842"/>
      <c r="R242" s="897"/>
      <c r="S242" s="897"/>
      <c r="T242" s="897"/>
      <c r="U242" s="897"/>
      <c r="V242" s="897"/>
      <c r="W242" s="897"/>
      <c r="X242" s="897"/>
      <c r="Y242" s="897"/>
    </row>
    <row r="243" spans="1:25">
      <c r="A243" s="896"/>
      <c r="B243" s="896"/>
      <c r="C243" s="896"/>
      <c r="D243" s="896"/>
      <c r="E243" s="896"/>
      <c r="P243" s="842"/>
      <c r="R243" s="897"/>
      <c r="S243" s="897"/>
      <c r="T243" s="897"/>
      <c r="U243" s="897"/>
      <c r="V243" s="897"/>
      <c r="W243" s="897"/>
      <c r="X243" s="897"/>
      <c r="Y243" s="897"/>
    </row>
    <row r="244" spans="1:25">
      <c r="A244" s="896"/>
      <c r="B244" s="896"/>
      <c r="C244" s="896"/>
      <c r="D244" s="896"/>
      <c r="E244" s="896"/>
      <c r="P244" s="842"/>
      <c r="R244" s="897"/>
      <c r="S244" s="897"/>
      <c r="T244" s="897"/>
      <c r="U244" s="897"/>
      <c r="V244" s="897"/>
      <c r="W244" s="897"/>
      <c r="X244" s="897"/>
      <c r="Y244" s="897"/>
    </row>
    <row r="245" spans="1:25">
      <c r="A245" s="896"/>
      <c r="B245" s="896"/>
      <c r="C245" s="896"/>
      <c r="D245" s="896"/>
      <c r="E245" s="896"/>
      <c r="P245" s="842"/>
      <c r="R245" s="897"/>
      <c r="S245" s="897"/>
      <c r="T245" s="897"/>
      <c r="U245" s="897"/>
      <c r="V245" s="897"/>
      <c r="W245" s="897"/>
      <c r="X245" s="897"/>
      <c r="Y245" s="897"/>
    </row>
    <row r="246" spans="1:25">
      <c r="A246" s="896"/>
      <c r="B246" s="896"/>
      <c r="C246" s="896"/>
      <c r="D246" s="896"/>
      <c r="E246" s="896"/>
      <c r="P246" s="842"/>
      <c r="R246" s="897"/>
      <c r="S246" s="897"/>
      <c r="T246" s="897"/>
      <c r="U246" s="897"/>
      <c r="V246" s="897"/>
      <c r="W246" s="897"/>
      <c r="X246" s="897"/>
      <c r="Y246" s="897"/>
    </row>
    <row r="247" spans="1:25">
      <c r="A247" s="896"/>
      <c r="B247" s="896"/>
      <c r="C247" s="896"/>
      <c r="D247" s="896"/>
      <c r="E247" s="896"/>
      <c r="P247" s="842"/>
      <c r="R247" s="897"/>
      <c r="S247" s="897"/>
      <c r="T247" s="897"/>
      <c r="U247" s="897"/>
      <c r="V247" s="897"/>
      <c r="W247" s="897"/>
      <c r="X247" s="897"/>
      <c r="Y247" s="897"/>
    </row>
    <row r="248" spans="1:25">
      <c r="A248" s="896"/>
      <c r="B248" s="896"/>
      <c r="C248" s="896"/>
      <c r="D248" s="896"/>
      <c r="E248" s="896"/>
      <c r="P248" s="842"/>
      <c r="R248" s="897"/>
      <c r="S248" s="897"/>
      <c r="T248" s="897"/>
      <c r="U248" s="897"/>
      <c r="V248" s="897"/>
      <c r="W248" s="897"/>
      <c r="X248" s="897"/>
      <c r="Y248" s="897"/>
    </row>
    <row r="249" spans="1:25">
      <c r="A249" s="896"/>
      <c r="B249" s="896"/>
      <c r="C249" s="896"/>
      <c r="D249" s="896"/>
      <c r="E249" s="896"/>
      <c r="P249" s="842"/>
      <c r="R249" s="897"/>
      <c r="S249" s="897"/>
      <c r="T249" s="897"/>
      <c r="U249" s="897"/>
      <c r="V249" s="897"/>
      <c r="W249" s="897"/>
      <c r="X249" s="897"/>
      <c r="Y249" s="897"/>
    </row>
    <row r="250" spans="1:25">
      <c r="A250" s="896"/>
      <c r="B250" s="896"/>
      <c r="C250" s="896"/>
      <c r="D250" s="896"/>
      <c r="E250" s="896"/>
      <c r="P250" s="842"/>
      <c r="R250" s="897"/>
      <c r="S250" s="897"/>
      <c r="T250" s="897"/>
      <c r="U250" s="897"/>
      <c r="V250" s="897"/>
      <c r="W250" s="897"/>
      <c r="X250" s="897"/>
      <c r="Y250" s="897"/>
    </row>
    <row r="251" spans="1:25">
      <c r="A251" s="896"/>
      <c r="B251" s="896"/>
      <c r="C251" s="896"/>
      <c r="D251" s="896"/>
      <c r="E251" s="896"/>
      <c r="P251" s="842"/>
      <c r="R251" s="897"/>
      <c r="S251" s="897"/>
      <c r="T251" s="897"/>
      <c r="U251" s="897"/>
      <c r="V251" s="897"/>
      <c r="W251" s="897"/>
      <c r="X251" s="897"/>
      <c r="Y251" s="897"/>
    </row>
    <row r="252" spans="1:25">
      <c r="A252" s="896"/>
      <c r="B252" s="896"/>
      <c r="C252" s="896"/>
      <c r="D252" s="896"/>
      <c r="E252" s="896"/>
      <c r="P252" s="842"/>
      <c r="R252" s="897"/>
      <c r="S252" s="897"/>
      <c r="T252" s="897"/>
      <c r="U252" s="897"/>
      <c r="V252" s="897"/>
      <c r="W252" s="897"/>
      <c r="X252" s="897"/>
      <c r="Y252" s="897"/>
    </row>
    <row r="253" spans="1:25">
      <c r="A253" s="896"/>
      <c r="B253" s="896"/>
      <c r="C253" s="896"/>
      <c r="D253" s="896"/>
      <c r="E253" s="896"/>
      <c r="P253" s="842"/>
      <c r="R253" s="897"/>
      <c r="S253" s="897"/>
      <c r="T253" s="897"/>
      <c r="U253" s="897"/>
      <c r="V253" s="897"/>
      <c r="W253" s="897"/>
      <c r="X253" s="897"/>
      <c r="Y253" s="897"/>
    </row>
    <row r="254" spans="1:25">
      <c r="A254" s="896"/>
      <c r="B254" s="896"/>
      <c r="C254" s="896"/>
      <c r="D254" s="896"/>
      <c r="E254" s="896"/>
      <c r="P254" s="842"/>
      <c r="R254" s="897"/>
      <c r="S254" s="897"/>
      <c r="T254" s="897"/>
      <c r="U254" s="897"/>
      <c r="V254" s="897"/>
      <c r="W254" s="897"/>
      <c r="X254" s="897"/>
      <c r="Y254" s="897"/>
    </row>
    <row r="255" spans="1:25">
      <c r="A255" s="896"/>
      <c r="B255" s="896"/>
      <c r="C255" s="896"/>
      <c r="D255" s="896"/>
      <c r="E255" s="896"/>
      <c r="P255" s="842"/>
      <c r="R255" s="897"/>
      <c r="S255" s="897"/>
      <c r="T255" s="897"/>
      <c r="U255" s="897"/>
      <c r="V255" s="897"/>
      <c r="W255" s="897"/>
      <c r="X255" s="897"/>
      <c r="Y255" s="897"/>
    </row>
    <row r="256" spans="1:25">
      <c r="A256" s="896"/>
      <c r="B256" s="896"/>
      <c r="C256" s="896"/>
      <c r="D256" s="896"/>
      <c r="E256" s="896"/>
      <c r="P256" s="842"/>
      <c r="R256" s="897"/>
      <c r="S256" s="897"/>
      <c r="T256" s="897"/>
      <c r="U256" s="897"/>
      <c r="V256" s="897"/>
      <c r="W256" s="897"/>
      <c r="X256" s="897"/>
      <c r="Y256" s="897"/>
    </row>
    <row r="257" spans="1:25">
      <c r="A257" s="896"/>
      <c r="B257" s="896"/>
      <c r="C257" s="896"/>
      <c r="D257" s="896"/>
      <c r="E257" s="896"/>
      <c r="P257" s="842"/>
      <c r="R257" s="897"/>
      <c r="S257" s="897"/>
      <c r="T257" s="897"/>
      <c r="U257" s="897"/>
      <c r="V257" s="897"/>
      <c r="W257" s="897"/>
      <c r="X257" s="897"/>
      <c r="Y257" s="897"/>
    </row>
    <row r="258" spans="1:25">
      <c r="A258" s="896"/>
      <c r="B258" s="896"/>
      <c r="C258" s="896"/>
      <c r="D258" s="896"/>
      <c r="E258" s="896"/>
      <c r="P258" s="842"/>
      <c r="R258" s="897"/>
      <c r="S258" s="897"/>
      <c r="T258" s="897"/>
      <c r="U258" s="897"/>
      <c r="V258" s="897"/>
      <c r="W258" s="897"/>
      <c r="X258" s="897"/>
      <c r="Y258" s="897"/>
    </row>
    <row r="259" spans="1:25">
      <c r="A259" s="896"/>
      <c r="B259" s="896"/>
      <c r="C259" s="896"/>
      <c r="D259" s="896"/>
      <c r="E259" s="896"/>
      <c r="P259" s="842"/>
      <c r="R259" s="897"/>
      <c r="S259" s="897"/>
      <c r="T259" s="897"/>
      <c r="U259" s="897"/>
      <c r="V259" s="897"/>
      <c r="W259" s="897"/>
      <c r="X259" s="897"/>
      <c r="Y259" s="897"/>
    </row>
    <row r="260" spans="1:25">
      <c r="A260" s="896"/>
      <c r="B260" s="896"/>
      <c r="C260" s="896"/>
      <c r="D260" s="896"/>
      <c r="E260" s="896"/>
      <c r="P260" s="842"/>
      <c r="R260" s="897"/>
      <c r="S260" s="897"/>
      <c r="T260" s="897"/>
      <c r="U260" s="897"/>
      <c r="V260" s="897"/>
      <c r="W260" s="897"/>
      <c r="X260" s="897"/>
      <c r="Y260" s="897"/>
    </row>
    <row r="261" spans="1:25">
      <c r="A261" s="896"/>
      <c r="B261" s="896"/>
      <c r="C261" s="896"/>
      <c r="D261" s="896"/>
      <c r="E261" s="896"/>
      <c r="P261" s="842"/>
      <c r="R261" s="897"/>
      <c r="S261" s="897"/>
      <c r="T261" s="897"/>
      <c r="U261" s="897"/>
      <c r="V261" s="897"/>
      <c r="W261" s="897"/>
      <c r="X261" s="897"/>
      <c r="Y261" s="897"/>
    </row>
    <row r="262" spans="1:25">
      <c r="A262" s="896"/>
      <c r="B262" s="896"/>
      <c r="C262" s="896"/>
      <c r="D262" s="896"/>
      <c r="E262" s="896"/>
      <c r="P262" s="842"/>
      <c r="R262" s="897"/>
      <c r="S262" s="897"/>
      <c r="T262" s="897"/>
      <c r="U262" s="897"/>
      <c r="V262" s="897"/>
      <c r="W262" s="897"/>
      <c r="X262" s="897"/>
      <c r="Y262" s="897"/>
    </row>
    <row r="263" spans="1:25">
      <c r="A263" s="896"/>
      <c r="B263" s="896"/>
      <c r="C263" s="896"/>
      <c r="D263" s="896"/>
      <c r="E263" s="896"/>
      <c r="P263" s="842"/>
      <c r="R263" s="897"/>
      <c r="S263" s="897"/>
      <c r="T263" s="897"/>
      <c r="U263" s="897"/>
      <c r="V263" s="897"/>
      <c r="W263" s="897"/>
      <c r="X263" s="897"/>
      <c r="Y263" s="897"/>
    </row>
    <row r="264" spans="1:25">
      <c r="A264" s="896"/>
      <c r="B264" s="896"/>
      <c r="C264" s="896"/>
      <c r="D264" s="896"/>
      <c r="E264" s="896"/>
      <c r="P264" s="842"/>
      <c r="R264" s="897"/>
      <c r="S264" s="897"/>
      <c r="T264" s="897"/>
      <c r="U264" s="897"/>
      <c r="V264" s="897"/>
      <c r="W264" s="897"/>
      <c r="X264" s="897"/>
      <c r="Y264" s="897"/>
    </row>
    <row r="265" spans="1:25">
      <c r="A265" s="896"/>
      <c r="B265" s="896"/>
      <c r="C265" s="896"/>
      <c r="D265" s="896"/>
      <c r="E265" s="896"/>
      <c r="P265" s="842"/>
      <c r="R265" s="897"/>
      <c r="S265" s="897"/>
      <c r="T265" s="897"/>
      <c r="U265" s="897"/>
      <c r="V265" s="897"/>
      <c r="W265" s="897"/>
      <c r="X265" s="897"/>
      <c r="Y265" s="897"/>
    </row>
    <row r="266" spans="1:25">
      <c r="A266" s="896"/>
      <c r="B266" s="896"/>
      <c r="C266" s="896"/>
      <c r="D266" s="896"/>
      <c r="E266" s="896"/>
      <c r="P266" s="842"/>
      <c r="R266" s="897"/>
      <c r="S266" s="897"/>
      <c r="T266" s="897"/>
      <c r="U266" s="897"/>
      <c r="V266" s="897"/>
      <c r="W266" s="897"/>
      <c r="X266" s="897"/>
      <c r="Y266" s="897"/>
    </row>
    <row r="267" spans="1:25">
      <c r="A267" s="896"/>
      <c r="B267" s="896"/>
      <c r="C267" s="896"/>
      <c r="D267" s="896"/>
      <c r="E267" s="896"/>
      <c r="P267" s="842"/>
      <c r="R267" s="897"/>
      <c r="S267" s="897"/>
      <c r="T267" s="897"/>
      <c r="U267" s="897"/>
      <c r="V267" s="897"/>
      <c r="W267" s="897"/>
      <c r="X267" s="897"/>
      <c r="Y267" s="897"/>
    </row>
    <row r="268" spans="1:25">
      <c r="A268" s="896"/>
      <c r="B268" s="896"/>
      <c r="C268" s="896"/>
      <c r="D268" s="896"/>
      <c r="E268" s="896"/>
      <c r="P268" s="842"/>
      <c r="R268" s="897"/>
      <c r="S268" s="897"/>
      <c r="T268" s="897"/>
      <c r="U268" s="897"/>
      <c r="V268" s="897"/>
      <c r="W268" s="897"/>
      <c r="X268" s="897"/>
      <c r="Y268" s="897"/>
    </row>
    <row r="269" spans="1:25">
      <c r="A269" s="896"/>
      <c r="B269" s="896"/>
      <c r="C269" s="896"/>
      <c r="D269" s="896"/>
      <c r="E269" s="896"/>
      <c r="P269" s="842"/>
      <c r="R269" s="897"/>
      <c r="S269" s="897"/>
      <c r="T269" s="897"/>
      <c r="U269" s="897"/>
      <c r="V269" s="897"/>
      <c r="W269" s="897"/>
      <c r="X269" s="897"/>
      <c r="Y269" s="897"/>
    </row>
    <row r="270" spans="1:25">
      <c r="A270" s="896"/>
      <c r="B270" s="896"/>
      <c r="C270" s="896"/>
      <c r="D270" s="896"/>
      <c r="E270" s="896"/>
      <c r="P270" s="842"/>
      <c r="R270" s="897"/>
      <c r="S270" s="897"/>
      <c r="T270" s="897"/>
      <c r="U270" s="897"/>
      <c r="V270" s="897"/>
      <c r="W270" s="897"/>
      <c r="X270" s="897"/>
      <c r="Y270" s="897"/>
    </row>
    <row r="271" spans="1:25">
      <c r="A271" s="896"/>
      <c r="B271" s="896"/>
      <c r="C271" s="896"/>
      <c r="D271" s="896"/>
      <c r="E271" s="896"/>
      <c r="P271" s="842"/>
      <c r="R271" s="897"/>
      <c r="S271" s="897"/>
      <c r="T271" s="897"/>
      <c r="U271" s="897"/>
      <c r="V271" s="897"/>
      <c r="W271" s="897"/>
      <c r="X271" s="897"/>
      <c r="Y271" s="897"/>
    </row>
    <row r="272" spans="1:25">
      <c r="A272" s="896"/>
      <c r="B272" s="896"/>
      <c r="C272" s="896"/>
      <c r="D272" s="896"/>
      <c r="E272" s="896"/>
      <c r="P272" s="842"/>
      <c r="R272" s="897"/>
      <c r="S272" s="897"/>
      <c r="T272" s="897"/>
      <c r="U272" s="897"/>
      <c r="V272" s="897"/>
      <c r="W272" s="897"/>
      <c r="X272" s="897"/>
      <c r="Y272" s="897"/>
    </row>
    <row r="273" spans="1:25">
      <c r="A273" s="896"/>
      <c r="B273" s="896"/>
      <c r="C273" s="896"/>
      <c r="D273" s="896"/>
      <c r="E273" s="896"/>
      <c r="P273" s="842"/>
      <c r="R273" s="897"/>
      <c r="S273" s="897"/>
      <c r="T273" s="897"/>
      <c r="U273" s="897"/>
      <c r="V273" s="897"/>
      <c r="W273" s="897"/>
      <c r="X273" s="897"/>
      <c r="Y273" s="897"/>
    </row>
    <row r="274" spans="1:25">
      <c r="A274" s="896"/>
      <c r="B274" s="896"/>
      <c r="C274" s="896"/>
      <c r="D274" s="896"/>
      <c r="E274" s="896"/>
      <c r="P274" s="842"/>
      <c r="R274" s="897"/>
      <c r="S274" s="897"/>
      <c r="T274" s="897"/>
      <c r="U274" s="897"/>
      <c r="V274" s="897"/>
      <c r="W274" s="897"/>
      <c r="X274" s="897"/>
      <c r="Y274" s="897"/>
    </row>
    <row r="275" spans="1:25">
      <c r="A275" s="896"/>
      <c r="B275" s="896"/>
      <c r="C275" s="896"/>
      <c r="D275" s="896"/>
      <c r="E275" s="896"/>
      <c r="P275" s="842"/>
      <c r="R275" s="897"/>
      <c r="S275" s="897"/>
      <c r="T275" s="897"/>
      <c r="U275" s="897"/>
      <c r="V275" s="897"/>
      <c r="W275" s="897"/>
      <c r="X275" s="897"/>
      <c r="Y275" s="897"/>
    </row>
    <row r="276" spans="1:25">
      <c r="A276" s="896"/>
      <c r="B276" s="896"/>
      <c r="C276" s="896"/>
      <c r="D276" s="896"/>
      <c r="E276" s="896"/>
      <c r="P276" s="842"/>
      <c r="R276" s="897"/>
      <c r="S276" s="897"/>
      <c r="T276" s="897"/>
      <c r="U276" s="897"/>
      <c r="V276" s="897"/>
      <c r="W276" s="897"/>
      <c r="X276" s="897"/>
      <c r="Y276" s="897"/>
    </row>
    <row r="277" spans="1:25">
      <c r="A277" s="896"/>
      <c r="B277" s="896"/>
      <c r="C277" s="896"/>
      <c r="D277" s="896"/>
      <c r="E277" s="896"/>
      <c r="P277" s="842"/>
      <c r="R277" s="897"/>
      <c r="S277" s="897"/>
      <c r="T277" s="897"/>
      <c r="U277" s="897"/>
      <c r="V277" s="897"/>
      <c r="W277" s="897"/>
      <c r="X277" s="897"/>
      <c r="Y277" s="897"/>
    </row>
    <row r="278" spans="1:25">
      <c r="A278" s="896"/>
      <c r="B278" s="896"/>
      <c r="C278" s="896"/>
      <c r="D278" s="896"/>
      <c r="E278" s="896"/>
      <c r="P278" s="842"/>
      <c r="R278" s="897"/>
      <c r="S278" s="897"/>
      <c r="T278" s="897"/>
      <c r="U278" s="897"/>
      <c r="V278" s="897"/>
      <c r="W278" s="897"/>
      <c r="X278" s="897"/>
      <c r="Y278" s="897"/>
    </row>
    <row r="279" spans="1:25">
      <c r="A279" s="896"/>
      <c r="B279" s="896"/>
      <c r="C279" s="896"/>
      <c r="D279" s="896"/>
      <c r="E279" s="896"/>
      <c r="P279" s="842"/>
      <c r="R279" s="897"/>
      <c r="S279" s="897"/>
      <c r="T279" s="897"/>
      <c r="U279" s="897"/>
      <c r="V279" s="897"/>
      <c r="W279" s="897"/>
      <c r="X279" s="897"/>
      <c r="Y279" s="897"/>
    </row>
    <row r="280" spans="1:25">
      <c r="A280" s="896"/>
      <c r="B280" s="896"/>
      <c r="C280" s="896"/>
      <c r="D280" s="896"/>
      <c r="E280" s="896"/>
      <c r="P280" s="842"/>
      <c r="R280" s="897"/>
      <c r="S280" s="897"/>
      <c r="T280" s="897"/>
      <c r="U280" s="897"/>
      <c r="V280" s="897"/>
      <c r="W280" s="897"/>
      <c r="X280" s="897"/>
      <c r="Y280" s="897"/>
    </row>
    <row r="281" spans="1:25">
      <c r="A281" s="896"/>
      <c r="B281" s="896"/>
      <c r="C281" s="896"/>
      <c r="D281" s="896"/>
      <c r="E281" s="896"/>
      <c r="P281" s="842"/>
      <c r="R281" s="897"/>
      <c r="S281" s="897"/>
      <c r="T281" s="897"/>
      <c r="U281" s="897"/>
      <c r="V281" s="897"/>
      <c r="W281" s="897"/>
      <c r="X281" s="897"/>
      <c r="Y281" s="897"/>
    </row>
    <row r="282" spans="1:25">
      <c r="A282" s="896"/>
      <c r="B282" s="896"/>
      <c r="C282" s="896"/>
      <c r="D282" s="896"/>
      <c r="E282" s="896"/>
      <c r="P282" s="842"/>
      <c r="R282" s="897"/>
      <c r="S282" s="897"/>
      <c r="T282" s="897"/>
      <c r="U282" s="897"/>
      <c r="V282" s="897"/>
      <c r="W282" s="897"/>
      <c r="X282" s="897"/>
      <c r="Y282" s="897"/>
    </row>
    <row r="283" spans="1:25">
      <c r="A283" s="896"/>
      <c r="B283" s="896"/>
      <c r="C283" s="896"/>
      <c r="D283" s="896"/>
      <c r="E283" s="896"/>
      <c r="P283" s="842"/>
      <c r="R283" s="897"/>
      <c r="S283" s="897"/>
      <c r="T283" s="897"/>
      <c r="U283" s="897"/>
      <c r="V283" s="897"/>
      <c r="W283" s="897"/>
      <c r="X283" s="897"/>
      <c r="Y283" s="897"/>
    </row>
    <row r="284" spans="1:25">
      <c r="A284" s="896"/>
      <c r="B284" s="896"/>
      <c r="C284" s="896"/>
      <c r="D284" s="896"/>
      <c r="E284" s="896"/>
      <c r="P284" s="842"/>
      <c r="R284" s="897"/>
      <c r="S284" s="897"/>
      <c r="T284" s="897"/>
      <c r="U284" s="897"/>
      <c r="V284" s="897"/>
      <c r="W284" s="897"/>
      <c r="X284" s="897"/>
      <c r="Y284" s="897"/>
    </row>
    <row r="285" spans="1:25">
      <c r="A285" s="896"/>
      <c r="B285" s="896"/>
      <c r="C285" s="896"/>
      <c r="D285" s="896"/>
      <c r="E285" s="896"/>
      <c r="P285" s="842"/>
      <c r="R285" s="897"/>
      <c r="S285" s="897"/>
      <c r="T285" s="897"/>
      <c r="U285" s="897"/>
      <c r="V285" s="897"/>
      <c r="W285" s="897"/>
      <c r="X285" s="897"/>
      <c r="Y285" s="897"/>
    </row>
    <row r="286" spans="1:25">
      <c r="A286" s="896"/>
      <c r="B286" s="896"/>
      <c r="C286" s="896"/>
      <c r="D286" s="896"/>
      <c r="E286" s="896"/>
      <c r="P286" s="842"/>
      <c r="R286" s="897"/>
      <c r="S286" s="897"/>
      <c r="T286" s="897"/>
      <c r="U286" s="897"/>
      <c r="V286" s="897"/>
      <c r="W286" s="897"/>
      <c r="X286" s="897"/>
      <c r="Y286" s="897"/>
    </row>
    <row r="287" spans="1:25">
      <c r="A287" s="896"/>
      <c r="B287" s="896"/>
      <c r="C287" s="896"/>
      <c r="D287" s="896"/>
      <c r="E287" s="896"/>
      <c r="R287" s="897"/>
      <c r="S287" s="897"/>
      <c r="T287" s="897"/>
      <c r="U287" s="897"/>
      <c r="V287" s="897"/>
      <c r="W287" s="897"/>
      <c r="X287" s="897"/>
      <c r="Y287" s="897"/>
    </row>
    <row r="288" spans="1:25">
      <c r="A288" s="896"/>
      <c r="B288" s="896"/>
      <c r="C288" s="896"/>
      <c r="D288" s="896"/>
      <c r="E288" s="896"/>
      <c r="R288" s="897"/>
      <c r="S288" s="897"/>
      <c r="T288" s="897"/>
      <c r="U288" s="897"/>
      <c r="V288" s="897"/>
      <c r="W288" s="897"/>
      <c r="X288" s="897"/>
      <c r="Y288" s="897"/>
    </row>
    <row r="289" spans="1:25">
      <c r="A289" s="896"/>
      <c r="B289" s="896"/>
      <c r="C289" s="896"/>
      <c r="D289" s="896"/>
      <c r="E289" s="896"/>
      <c r="R289" s="897"/>
      <c r="S289" s="897"/>
      <c r="T289" s="897"/>
      <c r="U289" s="897"/>
      <c r="V289" s="897"/>
      <c r="W289" s="897"/>
      <c r="X289" s="897"/>
      <c r="Y289" s="897"/>
    </row>
    <row r="290" spans="1:25">
      <c r="A290" s="896"/>
      <c r="B290" s="896"/>
      <c r="C290" s="896"/>
      <c r="D290" s="896"/>
      <c r="E290" s="896"/>
      <c r="R290" s="897"/>
      <c r="S290" s="897"/>
      <c r="T290" s="897"/>
      <c r="U290" s="897"/>
      <c r="V290" s="897"/>
      <c r="W290" s="897"/>
      <c r="X290" s="897"/>
      <c r="Y290" s="897"/>
    </row>
    <row r="291" spans="1:25">
      <c r="A291" s="896"/>
      <c r="B291" s="896"/>
      <c r="C291" s="896"/>
      <c r="D291" s="896"/>
      <c r="E291" s="896"/>
      <c r="R291" s="897"/>
      <c r="S291" s="897"/>
      <c r="T291" s="897"/>
      <c r="U291" s="897"/>
      <c r="V291" s="897"/>
      <c r="W291" s="897"/>
      <c r="X291" s="897"/>
      <c r="Y291" s="897"/>
    </row>
    <row r="292" spans="1:25">
      <c r="A292" s="896"/>
      <c r="B292" s="896"/>
      <c r="C292" s="896"/>
      <c r="D292" s="896"/>
      <c r="E292" s="896"/>
      <c r="R292" s="897"/>
      <c r="S292" s="897"/>
      <c r="T292" s="897"/>
      <c r="U292" s="897"/>
      <c r="V292" s="897"/>
      <c r="W292" s="897"/>
      <c r="X292" s="897"/>
      <c r="Y292" s="897"/>
    </row>
    <row r="293" spans="1:25">
      <c r="A293" s="896"/>
      <c r="B293" s="896"/>
      <c r="C293" s="896"/>
      <c r="D293" s="896"/>
      <c r="E293" s="896"/>
      <c r="R293" s="897"/>
      <c r="S293" s="897"/>
      <c r="T293" s="897"/>
      <c r="U293" s="897"/>
      <c r="V293" s="897"/>
      <c r="W293" s="897"/>
      <c r="X293" s="897"/>
      <c r="Y293" s="897"/>
    </row>
    <row r="294" spans="1:25">
      <c r="A294" s="896"/>
      <c r="B294" s="896"/>
      <c r="C294" s="896"/>
      <c r="D294" s="896"/>
      <c r="E294" s="896"/>
      <c r="R294" s="897"/>
      <c r="S294" s="897"/>
      <c r="T294" s="897"/>
      <c r="U294" s="897"/>
      <c r="V294" s="897"/>
      <c r="W294" s="897"/>
      <c r="X294" s="897"/>
      <c r="Y294" s="897"/>
    </row>
    <row r="295" spans="1:25">
      <c r="A295" s="896"/>
      <c r="B295" s="896"/>
      <c r="C295" s="896"/>
      <c r="D295" s="896"/>
      <c r="E295" s="896"/>
      <c r="R295" s="897"/>
      <c r="S295" s="897"/>
      <c r="T295" s="897"/>
      <c r="U295" s="897"/>
      <c r="V295" s="897"/>
      <c r="W295" s="897"/>
      <c r="X295" s="897"/>
      <c r="Y295" s="897"/>
    </row>
    <row r="296" spans="1:25">
      <c r="A296" s="896"/>
      <c r="B296" s="896"/>
      <c r="C296" s="896"/>
      <c r="D296" s="896"/>
      <c r="E296" s="896"/>
      <c r="R296" s="897"/>
      <c r="S296" s="897"/>
      <c r="T296" s="897"/>
      <c r="U296" s="897"/>
      <c r="V296" s="897"/>
      <c r="W296" s="897"/>
      <c r="X296" s="897"/>
      <c r="Y296" s="897"/>
    </row>
    <row r="297" spans="1:25">
      <c r="A297" s="896"/>
      <c r="B297" s="896"/>
      <c r="C297" s="896"/>
      <c r="D297" s="896"/>
      <c r="E297" s="896"/>
      <c r="R297" s="897"/>
      <c r="S297" s="897"/>
      <c r="T297" s="897"/>
      <c r="U297" s="897"/>
      <c r="V297" s="897"/>
      <c r="W297" s="897"/>
      <c r="X297" s="897"/>
      <c r="Y297" s="897"/>
    </row>
    <row r="298" spans="1:25">
      <c r="A298" s="896"/>
      <c r="B298" s="896"/>
      <c r="C298" s="896"/>
      <c r="D298" s="896"/>
      <c r="E298" s="896"/>
      <c r="R298" s="897"/>
      <c r="S298" s="897"/>
      <c r="T298" s="897"/>
      <c r="U298" s="897"/>
      <c r="V298" s="897"/>
      <c r="W298" s="897"/>
      <c r="X298" s="897"/>
      <c r="Y298" s="897"/>
    </row>
    <row r="299" spans="1:25">
      <c r="A299" s="896"/>
      <c r="B299" s="896"/>
      <c r="C299" s="896"/>
      <c r="D299" s="896"/>
      <c r="E299" s="896"/>
      <c r="R299" s="897"/>
      <c r="S299" s="897"/>
      <c r="T299" s="897"/>
      <c r="U299" s="897"/>
      <c r="V299" s="897"/>
      <c r="W299" s="897"/>
      <c r="X299" s="897"/>
      <c r="Y299" s="897"/>
    </row>
    <row r="300" spans="1:25">
      <c r="A300" s="896"/>
      <c r="B300" s="896"/>
      <c r="C300" s="896"/>
      <c r="D300" s="896"/>
      <c r="E300" s="896"/>
      <c r="R300" s="897"/>
      <c r="S300" s="897"/>
      <c r="T300" s="897"/>
      <c r="U300" s="897"/>
      <c r="V300" s="897"/>
      <c r="W300" s="897"/>
      <c r="X300" s="897"/>
      <c r="Y300" s="897"/>
    </row>
    <row r="301" spans="1:25">
      <c r="A301" s="896"/>
      <c r="B301" s="896"/>
      <c r="C301" s="896"/>
      <c r="D301" s="896"/>
      <c r="E301" s="896"/>
      <c r="P301" s="899"/>
      <c r="R301" s="897"/>
      <c r="S301" s="897"/>
      <c r="T301" s="897"/>
      <c r="U301" s="897"/>
      <c r="V301" s="897"/>
      <c r="W301" s="897"/>
      <c r="X301" s="897"/>
      <c r="Y301" s="897"/>
    </row>
    <row r="302" spans="1:25">
      <c r="A302" s="896"/>
      <c r="B302" s="896"/>
      <c r="C302" s="896"/>
      <c r="D302" s="896"/>
      <c r="E302" s="896"/>
      <c r="R302" s="897"/>
      <c r="S302" s="897"/>
      <c r="T302" s="897"/>
      <c r="U302" s="897"/>
      <c r="V302" s="897"/>
      <c r="W302" s="897"/>
      <c r="X302" s="897"/>
      <c r="Y302" s="897"/>
    </row>
    <row r="303" spans="1:25">
      <c r="A303" s="896"/>
      <c r="B303" s="896"/>
      <c r="C303" s="896"/>
      <c r="D303" s="896"/>
      <c r="E303" s="896"/>
      <c r="R303" s="897"/>
      <c r="S303" s="897"/>
      <c r="T303" s="897"/>
      <c r="U303" s="897"/>
      <c r="V303" s="897"/>
      <c r="W303" s="897"/>
      <c r="X303" s="897"/>
      <c r="Y303" s="897"/>
    </row>
    <row r="304" spans="1:25">
      <c r="A304" s="896"/>
      <c r="B304" s="896"/>
      <c r="C304" s="896"/>
      <c r="D304" s="896"/>
      <c r="E304" s="896"/>
      <c r="R304" s="897"/>
      <c r="S304" s="897"/>
      <c r="T304" s="897"/>
      <c r="U304" s="897"/>
      <c r="V304" s="897"/>
      <c r="W304" s="897"/>
      <c r="X304" s="897"/>
      <c r="Y304" s="897"/>
    </row>
    <row r="305" spans="1:25">
      <c r="A305" s="896"/>
      <c r="B305" s="896"/>
      <c r="C305" s="896"/>
      <c r="D305" s="896"/>
      <c r="E305" s="896"/>
      <c r="R305" s="897"/>
      <c r="S305" s="897"/>
      <c r="T305" s="897"/>
      <c r="U305" s="897"/>
      <c r="V305" s="897"/>
      <c r="W305" s="897"/>
      <c r="X305" s="897"/>
      <c r="Y305" s="897"/>
    </row>
    <row r="306" spans="1:25">
      <c r="A306" s="896"/>
      <c r="B306" s="896"/>
      <c r="C306" s="896"/>
      <c r="D306" s="896"/>
      <c r="E306" s="896"/>
      <c r="R306" s="897"/>
      <c r="S306" s="897"/>
      <c r="T306" s="897"/>
      <c r="U306" s="897"/>
      <c r="V306" s="897"/>
      <c r="W306" s="897"/>
      <c r="X306" s="897"/>
      <c r="Y306" s="897"/>
    </row>
    <row r="307" spans="1:25">
      <c r="A307" s="896"/>
      <c r="B307" s="896"/>
      <c r="C307" s="896"/>
      <c r="D307" s="896"/>
      <c r="E307" s="896"/>
      <c r="R307" s="897"/>
      <c r="S307" s="897"/>
      <c r="T307" s="897"/>
      <c r="U307" s="897"/>
      <c r="V307" s="897"/>
      <c r="W307" s="897"/>
      <c r="X307" s="897"/>
      <c r="Y307" s="897"/>
    </row>
    <row r="308" spans="1:25">
      <c r="A308" s="896"/>
      <c r="B308" s="896"/>
      <c r="C308" s="896"/>
      <c r="D308" s="896"/>
      <c r="E308" s="896"/>
      <c r="R308" s="897"/>
      <c r="S308" s="897"/>
      <c r="T308" s="897"/>
      <c r="U308" s="897"/>
      <c r="V308" s="897"/>
      <c r="W308" s="897"/>
      <c r="X308" s="897"/>
      <c r="Y308" s="897"/>
    </row>
    <row r="309" spans="1:25">
      <c r="A309" s="896"/>
      <c r="B309" s="896"/>
      <c r="C309" s="896"/>
      <c r="D309" s="896"/>
      <c r="E309" s="896"/>
      <c r="R309" s="897"/>
      <c r="S309" s="897"/>
      <c r="T309" s="897"/>
      <c r="U309" s="897"/>
      <c r="V309" s="897"/>
      <c r="W309" s="897"/>
      <c r="X309" s="897"/>
      <c r="Y309" s="897"/>
    </row>
    <row r="310" spans="1:25">
      <c r="A310" s="896"/>
      <c r="B310" s="896"/>
      <c r="C310" s="896"/>
      <c r="D310" s="896"/>
      <c r="E310" s="896"/>
      <c r="P310" s="899"/>
      <c r="R310" s="897"/>
      <c r="S310" s="897"/>
      <c r="T310" s="897"/>
      <c r="U310" s="897"/>
      <c r="V310" s="897"/>
      <c r="W310" s="897"/>
      <c r="X310" s="897"/>
      <c r="Y310" s="897"/>
    </row>
    <row r="311" spans="1:25">
      <c r="A311" s="896"/>
      <c r="B311" s="896"/>
      <c r="C311" s="896"/>
      <c r="D311" s="896"/>
      <c r="E311" s="896"/>
      <c r="R311" s="897"/>
      <c r="S311" s="897"/>
      <c r="T311" s="897"/>
      <c r="U311" s="897"/>
      <c r="V311" s="897"/>
      <c r="W311" s="897"/>
      <c r="X311" s="897"/>
      <c r="Y311" s="897"/>
    </row>
    <row r="312" spans="1:25">
      <c r="A312" s="896"/>
      <c r="B312" s="896"/>
      <c r="C312" s="896"/>
      <c r="D312" s="896"/>
      <c r="E312" s="896"/>
      <c r="R312" s="897"/>
      <c r="S312" s="897"/>
      <c r="T312" s="897"/>
      <c r="U312" s="897"/>
      <c r="V312" s="897"/>
      <c r="W312" s="897"/>
      <c r="X312" s="897"/>
      <c r="Y312" s="897"/>
    </row>
    <row r="313" spans="1:25">
      <c r="A313" s="896"/>
      <c r="B313" s="896"/>
      <c r="C313" s="896"/>
      <c r="D313" s="896"/>
      <c r="E313" s="896"/>
      <c r="R313" s="897"/>
      <c r="S313" s="897"/>
      <c r="T313" s="897"/>
      <c r="U313" s="897"/>
      <c r="V313" s="897"/>
      <c r="W313" s="897"/>
      <c r="X313" s="897"/>
      <c r="Y313" s="897"/>
    </row>
    <row r="314" spans="1:25">
      <c r="A314" s="896"/>
      <c r="B314" s="896"/>
      <c r="C314" s="896"/>
      <c r="D314" s="896"/>
      <c r="E314" s="896"/>
      <c r="R314" s="897"/>
      <c r="S314" s="897"/>
      <c r="T314" s="897"/>
      <c r="U314" s="897"/>
      <c r="V314" s="897"/>
      <c r="W314" s="897"/>
      <c r="X314" s="897"/>
      <c r="Y314" s="897"/>
    </row>
    <row r="315" spans="1:25">
      <c r="A315" s="896"/>
      <c r="B315" s="896"/>
      <c r="C315" s="896"/>
      <c r="D315" s="896"/>
      <c r="E315" s="896"/>
      <c r="R315" s="897"/>
      <c r="S315" s="897"/>
      <c r="T315" s="897"/>
      <c r="U315" s="897"/>
      <c r="V315" s="897"/>
      <c r="W315" s="897"/>
      <c r="X315" s="897"/>
      <c r="Y315" s="897"/>
    </row>
    <row r="316" spans="1:25">
      <c r="A316" s="896"/>
      <c r="B316" s="896"/>
      <c r="C316" s="896"/>
      <c r="D316" s="896"/>
      <c r="E316" s="896"/>
      <c r="R316" s="897"/>
      <c r="S316" s="897"/>
      <c r="T316" s="897"/>
      <c r="U316" s="897"/>
      <c r="V316" s="897"/>
      <c r="W316" s="897"/>
      <c r="X316" s="897"/>
      <c r="Y316" s="897"/>
    </row>
    <row r="317" spans="1:25">
      <c r="A317" s="896"/>
      <c r="B317" s="896"/>
      <c r="C317" s="896"/>
      <c r="D317" s="896"/>
      <c r="E317" s="896"/>
      <c r="R317" s="897"/>
      <c r="S317" s="897"/>
      <c r="T317" s="897"/>
      <c r="U317" s="897"/>
      <c r="V317" s="897"/>
      <c r="W317" s="897"/>
      <c r="X317" s="897"/>
      <c r="Y317" s="897"/>
    </row>
    <row r="318" spans="1:25">
      <c r="A318" s="896"/>
      <c r="B318" s="896"/>
      <c r="C318" s="896"/>
      <c r="D318" s="896"/>
      <c r="E318" s="896"/>
      <c r="R318" s="897"/>
      <c r="S318" s="897"/>
      <c r="T318" s="897"/>
      <c r="U318" s="897"/>
      <c r="V318" s="897"/>
      <c r="W318" s="897"/>
      <c r="X318" s="897"/>
      <c r="Y318" s="897"/>
    </row>
    <row r="319" spans="1:25">
      <c r="A319" s="896"/>
      <c r="B319" s="896"/>
      <c r="C319" s="896"/>
      <c r="D319" s="896"/>
      <c r="E319" s="896"/>
      <c r="R319" s="897"/>
      <c r="S319" s="897"/>
      <c r="T319" s="897"/>
      <c r="U319" s="897"/>
      <c r="V319" s="897"/>
      <c r="W319" s="897"/>
      <c r="X319" s="897"/>
      <c r="Y319" s="897"/>
    </row>
    <row r="320" spans="1:25">
      <c r="A320" s="896"/>
      <c r="B320" s="896"/>
      <c r="C320" s="896"/>
      <c r="D320" s="896"/>
      <c r="E320" s="896"/>
      <c r="R320" s="897"/>
      <c r="S320" s="897"/>
      <c r="T320" s="897"/>
      <c r="U320" s="897"/>
      <c r="V320" s="897"/>
      <c r="W320" s="897"/>
      <c r="X320" s="897"/>
      <c r="Y320" s="897"/>
    </row>
    <row r="321" spans="1:25">
      <c r="A321" s="896"/>
      <c r="B321" s="896"/>
      <c r="C321" s="896"/>
      <c r="D321" s="896"/>
      <c r="E321" s="896"/>
      <c r="R321" s="897"/>
      <c r="S321" s="897"/>
      <c r="T321" s="897"/>
      <c r="U321" s="897"/>
      <c r="V321" s="897"/>
      <c r="W321" s="897"/>
      <c r="X321" s="897"/>
      <c r="Y321" s="897"/>
    </row>
    <row r="322" spans="1:25">
      <c r="A322" s="896"/>
      <c r="B322" s="896"/>
      <c r="C322" s="896"/>
      <c r="D322" s="896"/>
      <c r="E322" s="896"/>
      <c r="R322" s="897"/>
      <c r="S322" s="897"/>
      <c r="T322" s="897"/>
      <c r="U322" s="897"/>
      <c r="V322" s="897"/>
      <c r="W322" s="897"/>
      <c r="X322" s="897"/>
      <c r="Y322" s="897"/>
    </row>
    <row r="323" spans="1:25">
      <c r="A323" s="896"/>
      <c r="B323" s="896"/>
      <c r="C323" s="896"/>
      <c r="D323" s="896"/>
      <c r="E323" s="896"/>
      <c r="R323" s="897"/>
      <c r="S323" s="897"/>
      <c r="T323" s="897"/>
      <c r="U323" s="897"/>
      <c r="V323" s="897"/>
      <c r="W323" s="897"/>
      <c r="X323" s="897"/>
      <c r="Y323" s="897"/>
    </row>
    <row r="324" spans="1:25">
      <c r="A324" s="896"/>
      <c r="B324" s="896"/>
      <c r="C324" s="896"/>
      <c r="D324" s="896"/>
      <c r="E324" s="896"/>
      <c r="R324" s="897"/>
      <c r="S324" s="897"/>
      <c r="T324" s="897"/>
      <c r="U324" s="897"/>
      <c r="V324" s="897"/>
      <c r="W324" s="897"/>
      <c r="X324" s="897"/>
      <c r="Y324" s="897"/>
    </row>
    <row r="325" spans="1:25">
      <c r="A325" s="896"/>
      <c r="B325" s="896"/>
      <c r="C325" s="896"/>
      <c r="D325" s="896"/>
      <c r="E325" s="896"/>
      <c r="R325" s="897"/>
      <c r="S325" s="897"/>
      <c r="T325" s="897"/>
      <c r="U325" s="897"/>
      <c r="V325" s="897"/>
      <c r="W325" s="897"/>
      <c r="X325" s="897"/>
      <c r="Y325" s="897"/>
    </row>
    <row r="326" spans="1:25">
      <c r="A326" s="896"/>
      <c r="B326" s="896"/>
      <c r="C326" s="896"/>
      <c r="D326" s="896"/>
      <c r="E326" s="896"/>
      <c r="R326" s="897"/>
      <c r="S326" s="897"/>
      <c r="T326" s="897"/>
      <c r="U326" s="897"/>
      <c r="V326" s="897"/>
      <c r="W326" s="897"/>
      <c r="X326" s="897"/>
      <c r="Y326" s="897"/>
    </row>
    <row r="327" spans="1:25">
      <c r="A327" s="896"/>
      <c r="B327" s="896"/>
      <c r="C327" s="896"/>
      <c r="D327" s="896"/>
      <c r="E327" s="896"/>
      <c r="R327" s="897"/>
      <c r="S327" s="897"/>
      <c r="T327" s="897"/>
      <c r="U327" s="897"/>
      <c r="V327" s="897"/>
      <c r="W327" s="897"/>
      <c r="X327" s="897"/>
      <c r="Y327" s="897"/>
    </row>
    <row r="328" spans="1:25">
      <c r="A328" s="896"/>
      <c r="B328" s="896"/>
      <c r="C328" s="896"/>
      <c r="D328" s="896"/>
      <c r="E328" s="896"/>
      <c r="R328" s="897"/>
      <c r="S328" s="897"/>
      <c r="T328" s="897"/>
      <c r="U328" s="897"/>
      <c r="V328" s="897"/>
      <c r="W328" s="897"/>
      <c r="X328" s="897"/>
      <c r="Y328" s="897"/>
    </row>
    <row r="329" spans="1:25">
      <c r="A329" s="896"/>
      <c r="B329" s="896"/>
      <c r="C329" s="896"/>
      <c r="D329" s="896"/>
      <c r="E329" s="896"/>
      <c r="P329" s="899"/>
      <c r="R329" s="897"/>
      <c r="S329" s="897"/>
      <c r="T329" s="897"/>
      <c r="U329" s="897"/>
      <c r="V329" s="897"/>
      <c r="W329" s="897"/>
      <c r="X329" s="897"/>
      <c r="Y329" s="897"/>
    </row>
    <row r="330" spans="1:25">
      <c r="A330" s="896"/>
      <c r="B330" s="896"/>
      <c r="C330" s="896"/>
      <c r="D330" s="896"/>
      <c r="E330" s="896"/>
      <c r="R330" s="897"/>
      <c r="S330" s="897"/>
      <c r="T330" s="897"/>
      <c r="U330" s="897"/>
      <c r="V330" s="897"/>
      <c r="W330" s="897"/>
      <c r="X330" s="897"/>
      <c r="Y330" s="897"/>
    </row>
    <row r="331" spans="1:25">
      <c r="A331" s="896"/>
      <c r="B331" s="896"/>
      <c r="C331" s="896"/>
      <c r="D331" s="896"/>
      <c r="E331" s="896"/>
      <c r="R331" s="897"/>
      <c r="S331" s="897"/>
      <c r="T331" s="897"/>
      <c r="U331" s="897"/>
      <c r="V331" s="897"/>
      <c r="W331" s="897"/>
      <c r="X331" s="897"/>
      <c r="Y331" s="897"/>
    </row>
    <row r="332" spans="1:25">
      <c r="A332" s="896"/>
      <c r="B332" s="896"/>
      <c r="C332" s="896"/>
      <c r="D332" s="896"/>
      <c r="E332" s="896"/>
      <c r="R332" s="897"/>
      <c r="S332" s="897"/>
      <c r="T332" s="897"/>
      <c r="U332" s="897"/>
      <c r="V332" s="897"/>
      <c r="W332" s="897"/>
      <c r="X332" s="897"/>
      <c r="Y332" s="897"/>
    </row>
    <row r="333" spans="1:25">
      <c r="A333" s="896"/>
      <c r="B333" s="896"/>
      <c r="C333" s="896"/>
      <c r="D333" s="896"/>
      <c r="E333" s="896"/>
      <c r="P333" s="899"/>
      <c r="R333" s="897"/>
      <c r="S333" s="897"/>
      <c r="T333" s="897"/>
      <c r="U333" s="897"/>
      <c r="V333" s="897"/>
      <c r="W333" s="897"/>
      <c r="X333" s="897"/>
      <c r="Y333" s="897"/>
    </row>
    <row r="334" spans="1:25">
      <c r="A334" s="896"/>
      <c r="B334" s="896"/>
      <c r="C334" s="896"/>
      <c r="D334" s="896"/>
      <c r="E334" s="896"/>
      <c r="R334" s="897"/>
      <c r="S334" s="897"/>
      <c r="T334" s="897"/>
      <c r="U334" s="897"/>
      <c r="V334" s="897"/>
      <c r="W334" s="897"/>
      <c r="X334" s="897"/>
      <c r="Y334" s="897"/>
    </row>
    <row r="335" spans="1:25">
      <c r="A335" s="896"/>
      <c r="B335" s="896"/>
      <c r="C335" s="896"/>
      <c r="D335" s="896"/>
      <c r="E335" s="896"/>
      <c r="R335" s="897"/>
      <c r="S335" s="897"/>
      <c r="T335" s="897"/>
      <c r="U335" s="897"/>
      <c r="V335" s="897"/>
      <c r="W335" s="897"/>
      <c r="X335" s="897"/>
      <c r="Y335" s="897"/>
    </row>
    <row r="336" spans="1:25">
      <c r="A336" s="896"/>
      <c r="B336" s="896"/>
      <c r="C336" s="896"/>
      <c r="D336" s="896"/>
      <c r="E336" s="896"/>
      <c r="R336" s="897"/>
      <c r="S336" s="897"/>
      <c r="T336" s="897"/>
      <c r="U336" s="897"/>
      <c r="V336" s="897"/>
      <c r="W336" s="897"/>
      <c r="X336" s="897"/>
      <c r="Y336" s="897"/>
    </row>
    <row r="337" spans="1:25">
      <c r="A337" s="896"/>
      <c r="B337" s="896"/>
      <c r="C337" s="896"/>
      <c r="D337" s="896"/>
      <c r="E337" s="896"/>
      <c r="R337" s="897"/>
      <c r="S337" s="897"/>
      <c r="T337" s="897"/>
      <c r="U337" s="897"/>
      <c r="V337" s="897"/>
      <c r="W337" s="897"/>
      <c r="X337" s="897"/>
      <c r="Y337" s="897"/>
    </row>
    <row r="338" spans="1:25">
      <c r="A338" s="896"/>
      <c r="B338" s="896"/>
      <c r="C338" s="896"/>
      <c r="D338" s="896"/>
      <c r="E338" s="896"/>
      <c r="R338" s="897"/>
      <c r="S338" s="897"/>
      <c r="T338" s="897"/>
      <c r="U338" s="897"/>
      <c r="V338" s="897"/>
      <c r="W338" s="897"/>
      <c r="X338" s="897"/>
      <c r="Y338" s="897"/>
    </row>
    <row r="339" spans="1:25">
      <c r="A339" s="896"/>
      <c r="B339" s="896"/>
      <c r="C339" s="896"/>
      <c r="D339" s="896"/>
      <c r="E339" s="896"/>
      <c r="R339" s="897"/>
      <c r="S339" s="897"/>
      <c r="T339" s="897"/>
      <c r="U339" s="897"/>
      <c r="V339" s="897"/>
      <c r="W339" s="897"/>
      <c r="X339" s="897"/>
      <c r="Y339" s="897"/>
    </row>
    <row r="340" spans="1:25">
      <c r="A340" s="896"/>
      <c r="B340" s="896"/>
      <c r="C340" s="896"/>
      <c r="D340" s="896"/>
      <c r="E340" s="896"/>
      <c r="R340" s="897"/>
      <c r="S340" s="897"/>
      <c r="T340" s="897"/>
      <c r="U340" s="897"/>
      <c r="V340" s="897"/>
      <c r="W340" s="897"/>
      <c r="X340" s="897"/>
      <c r="Y340" s="897"/>
    </row>
    <row r="341" spans="1:25">
      <c r="A341" s="896"/>
      <c r="B341" s="896"/>
      <c r="C341" s="896"/>
      <c r="D341" s="896"/>
      <c r="E341" s="896"/>
      <c r="R341" s="897"/>
      <c r="S341" s="897"/>
      <c r="T341" s="897"/>
      <c r="U341" s="897"/>
      <c r="V341" s="897"/>
      <c r="W341" s="897"/>
      <c r="X341" s="897"/>
      <c r="Y341" s="897"/>
    </row>
    <row r="342" spans="1:25">
      <c r="A342" s="896"/>
      <c r="B342" s="896"/>
      <c r="C342" s="896"/>
      <c r="D342" s="896"/>
      <c r="E342" s="896"/>
      <c r="R342" s="897"/>
      <c r="S342" s="897"/>
      <c r="T342" s="897"/>
      <c r="U342" s="897"/>
      <c r="V342" s="897"/>
      <c r="W342" s="897"/>
      <c r="X342" s="897"/>
      <c r="Y342" s="897"/>
    </row>
    <row r="343" spans="1:25">
      <c r="A343" s="896"/>
      <c r="B343" s="896"/>
      <c r="C343" s="896"/>
      <c r="D343" s="896"/>
      <c r="E343" s="896"/>
      <c r="R343" s="897"/>
      <c r="S343" s="897"/>
      <c r="T343" s="897"/>
      <c r="U343" s="897"/>
      <c r="V343" s="897"/>
      <c r="W343" s="897"/>
      <c r="X343" s="897"/>
      <c r="Y343" s="897"/>
    </row>
    <row r="344" spans="1:25">
      <c r="A344" s="896"/>
      <c r="B344" s="896"/>
      <c r="C344" s="896"/>
      <c r="D344" s="896"/>
      <c r="E344" s="896"/>
      <c r="R344" s="897"/>
      <c r="S344" s="897"/>
      <c r="T344" s="897"/>
      <c r="U344" s="897"/>
      <c r="V344" s="897"/>
      <c r="W344" s="897"/>
      <c r="X344" s="897"/>
      <c r="Y344" s="897"/>
    </row>
    <row r="345" spans="1:25">
      <c r="A345" s="896"/>
      <c r="B345" s="896"/>
      <c r="C345" s="896"/>
      <c r="D345" s="896"/>
      <c r="E345" s="896"/>
      <c r="R345" s="897"/>
      <c r="S345" s="897"/>
      <c r="T345" s="897"/>
      <c r="U345" s="897"/>
      <c r="V345" s="897"/>
      <c r="W345" s="897"/>
      <c r="X345" s="897"/>
      <c r="Y345" s="897"/>
    </row>
    <row r="346" spans="1:25">
      <c r="A346" s="896"/>
      <c r="B346" s="896"/>
      <c r="C346" s="896"/>
      <c r="D346" s="896"/>
      <c r="E346" s="896"/>
      <c r="R346" s="897"/>
      <c r="S346" s="897"/>
      <c r="T346" s="897"/>
      <c r="U346" s="897"/>
      <c r="V346" s="897"/>
      <c r="W346" s="897"/>
      <c r="X346" s="897"/>
      <c r="Y346" s="897"/>
    </row>
    <row r="347" spans="1:25">
      <c r="A347" s="896"/>
      <c r="B347" s="896"/>
      <c r="C347" s="896"/>
      <c r="D347" s="896"/>
      <c r="E347" s="896"/>
      <c r="R347" s="897"/>
      <c r="S347" s="897"/>
      <c r="T347" s="897"/>
      <c r="U347" s="897"/>
      <c r="V347" s="897"/>
      <c r="W347" s="897"/>
      <c r="X347" s="897"/>
      <c r="Y347" s="897"/>
    </row>
    <row r="348" spans="1:25">
      <c r="A348" s="896"/>
      <c r="B348" s="896"/>
      <c r="C348" s="896"/>
      <c r="D348" s="896"/>
      <c r="E348" s="896"/>
      <c r="R348" s="897"/>
      <c r="S348" s="897"/>
      <c r="T348" s="897"/>
      <c r="U348" s="897"/>
      <c r="V348" s="897"/>
      <c r="W348" s="897"/>
      <c r="X348" s="897"/>
      <c r="Y348" s="897"/>
    </row>
    <row r="349" spans="1:25">
      <c r="A349" s="896"/>
      <c r="B349" s="896"/>
      <c r="C349" s="896"/>
      <c r="D349" s="896"/>
      <c r="E349" s="896"/>
      <c r="R349" s="897"/>
      <c r="S349" s="897"/>
      <c r="T349" s="897"/>
      <c r="U349" s="897"/>
      <c r="V349" s="897"/>
      <c r="W349" s="897"/>
      <c r="X349" s="897"/>
      <c r="Y349" s="897"/>
    </row>
    <row r="350" spans="1:25">
      <c r="A350" s="896"/>
      <c r="B350" s="896"/>
      <c r="C350" s="896"/>
      <c r="D350" s="896"/>
      <c r="E350" s="896"/>
      <c r="R350" s="897"/>
      <c r="S350" s="897"/>
      <c r="T350" s="897"/>
      <c r="U350" s="897"/>
      <c r="V350" s="897"/>
      <c r="W350" s="897"/>
      <c r="X350" s="897"/>
      <c r="Y350" s="897"/>
    </row>
    <row r="351" spans="1:25">
      <c r="A351" s="896"/>
      <c r="B351" s="896"/>
      <c r="C351" s="896"/>
      <c r="D351" s="896"/>
      <c r="E351" s="896"/>
      <c r="R351" s="897"/>
      <c r="S351" s="897"/>
      <c r="T351" s="897"/>
      <c r="U351" s="897"/>
      <c r="V351" s="897"/>
      <c r="W351" s="897"/>
      <c r="X351" s="897"/>
      <c r="Y351" s="897"/>
    </row>
    <row r="352" spans="1:25">
      <c r="A352" s="896"/>
      <c r="B352" s="896"/>
      <c r="C352" s="896"/>
      <c r="D352" s="896"/>
      <c r="E352" s="896"/>
      <c r="R352" s="897"/>
      <c r="S352" s="897"/>
      <c r="T352" s="897"/>
      <c r="U352" s="897"/>
      <c r="V352" s="897"/>
      <c r="W352" s="897"/>
      <c r="X352" s="897"/>
      <c r="Y352" s="897"/>
    </row>
    <row r="353" spans="1:25">
      <c r="A353" s="896"/>
      <c r="B353" s="896"/>
      <c r="C353" s="896"/>
      <c r="D353" s="896"/>
      <c r="E353" s="896"/>
      <c r="R353" s="897"/>
      <c r="S353" s="897"/>
      <c r="T353" s="897"/>
      <c r="U353" s="897"/>
      <c r="V353" s="897"/>
      <c r="W353" s="897"/>
      <c r="X353" s="897"/>
      <c r="Y353" s="897"/>
    </row>
    <row r="354" spans="1:25">
      <c r="A354" s="896"/>
      <c r="B354" s="896"/>
      <c r="C354" s="896"/>
      <c r="D354" s="896"/>
      <c r="E354" s="896"/>
      <c r="R354" s="897"/>
      <c r="S354" s="897"/>
      <c r="T354" s="897"/>
      <c r="U354" s="897"/>
      <c r="V354" s="897"/>
      <c r="W354" s="897"/>
      <c r="X354" s="897"/>
      <c r="Y354" s="897"/>
    </row>
    <row r="355" spans="1:25">
      <c r="A355" s="896"/>
      <c r="B355" s="896"/>
      <c r="C355" s="896"/>
      <c r="D355" s="896"/>
      <c r="E355" s="896"/>
      <c r="R355" s="897"/>
      <c r="S355" s="897"/>
      <c r="T355" s="897"/>
      <c r="U355" s="897"/>
      <c r="V355" s="897"/>
      <c r="W355" s="897"/>
      <c r="X355" s="897"/>
      <c r="Y355" s="897"/>
    </row>
    <row r="356" spans="1:25">
      <c r="A356" s="896"/>
      <c r="B356" s="896"/>
      <c r="C356" s="896"/>
      <c r="D356" s="896"/>
      <c r="E356" s="896"/>
      <c r="R356" s="897"/>
      <c r="S356" s="897"/>
      <c r="T356" s="897"/>
      <c r="U356" s="897"/>
      <c r="V356" s="897"/>
      <c r="W356" s="897"/>
      <c r="X356" s="897"/>
      <c r="Y356" s="897"/>
    </row>
    <row r="357" spans="1:25">
      <c r="A357" s="896"/>
      <c r="B357" s="896"/>
      <c r="C357" s="896"/>
      <c r="D357" s="896"/>
      <c r="E357" s="896"/>
      <c r="R357" s="897"/>
      <c r="S357" s="897"/>
      <c r="T357" s="897"/>
      <c r="U357" s="897"/>
      <c r="V357" s="897"/>
      <c r="W357" s="897"/>
      <c r="X357" s="897"/>
      <c r="Y357" s="897"/>
    </row>
    <row r="358" spans="1:25">
      <c r="A358" s="896"/>
      <c r="B358" s="896"/>
      <c r="C358" s="896"/>
      <c r="D358" s="896"/>
      <c r="E358" s="896"/>
      <c r="R358" s="897"/>
      <c r="S358" s="897"/>
      <c r="T358" s="897"/>
      <c r="U358" s="897"/>
      <c r="V358" s="897"/>
      <c r="W358" s="897"/>
      <c r="X358" s="897"/>
      <c r="Y358" s="897"/>
    </row>
    <row r="359" spans="1:25">
      <c r="A359" s="896"/>
      <c r="B359" s="896"/>
      <c r="C359" s="896"/>
      <c r="D359" s="896"/>
      <c r="E359" s="896"/>
      <c r="R359" s="897"/>
      <c r="S359" s="897"/>
      <c r="T359" s="897"/>
      <c r="U359" s="897"/>
      <c r="V359" s="897"/>
      <c r="W359" s="897"/>
      <c r="X359" s="897"/>
      <c r="Y359" s="897"/>
    </row>
    <row r="360" spans="1:25">
      <c r="A360" s="896"/>
      <c r="B360" s="896"/>
      <c r="C360" s="896"/>
      <c r="D360" s="896"/>
      <c r="E360" s="896"/>
      <c r="R360" s="897"/>
      <c r="S360" s="897"/>
      <c r="T360" s="897"/>
      <c r="U360" s="897"/>
      <c r="V360" s="897"/>
      <c r="W360" s="897"/>
      <c r="X360" s="897"/>
      <c r="Y360" s="897"/>
    </row>
    <row r="361" spans="1:25">
      <c r="A361" s="896"/>
      <c r="B361" s="896"/>
      <c r="C361" s="896"/>
      <c r="D361" s="896"/>
      <c r="E361" s="896"/>
      <c r="R361" s="897"/>
      <c r="S361" s="897"/>
      <c r="T361" s="897"/>
      <c r="U361" s="897"/>
      <c r="V361" s="897"/>
      <c r="W361" s="897"/>
      <c r="X361" s="897"/>
      <c r="Y361" s="897"/>
    </row>
    <row r="362" spans="1:25">
      <c r="A362" s="896"/>
      <c r="B362" s="896"/>
      <c r="C362" s="896"/>
      <c r="D362" s="896"/>
      <c r="E362" s="896"/>
      <c r="R362" s="897"/>
      <c r="S362" s="897"/>
      <c r="T362" s="897"/>
      <c r="U362" s="897"/>
      <c r="V362" s="897"/>
      <c r="W362" s="897"/>
      <c r="X362" s="897"/>
      <c r="Y362" s="897"/>
    </row>
    <row r="363" spans="1:25">
      <c r="A363" s="896"/>
      <c r="B363" s="896"/>
      <c r="C363" s="896"/>
      <c r="D363" s="896"/>
      <c r="E363" s="896"/>
      <c r="R363" s="897"/>
      <c r="S363" s="897"/>
      <c r="T363" s="897"/>
      <c r="U363" s="897"/>
      <c r="V363" s="897"/>
      <c r="W363" s="897"/>
      <c r="X363" s="897"/>
      <c r="Y363" s="897"/>
    </row>
    <row r="364" spans="1:25">
      <c r="A364" s="896"/>
      <c r="B364" s="896"/>
      <c r="C364" s="896"/>
      <c r="D364" s="896"/>
      <c r="E364" s="896"/>
      <c r="R364" s="897"/>
      <c r="S364" s="897"/>
      <c r="T364" s="897"/>
      <c r="U364" s="897"/>
      <c r="V364" s="897"/>
      <c r="W364" s="897"/>
      <c r="X364" s="897"/>
      <c r="Y364" s="897"/>
    </row>
    <row r="365" spans="1:25">
      <c r="A365" s="896"/>
      <c r="B365" s="896"/>
      <c r="C365" s="896"/>
      <c r="D365" s="896"/>
      <c r="E365" s="896"/>
      <c r="R365" s="897"/>
      <c r="S365" s="897"/>
      <c r="T365" s="897"/>
      <c r="U365" s="897"/>
      <c r="V365" s="897"/>
      <c r="W365" s="897"/>
      <c r="X365" s="897"/>
      <c r="Y365" s="897"/>
    </row>
    <row r="366" spans="1:25">
      <c r="A366" s="896"/>
      <c r="B366" s="896"/>
      <c r="C366" s="896"/>
      <c r="D366" s="896"/>
      <c r="E366" s="896"/>
      <c r="R366" s="897"/>
      <c r="S366" s="897"/>
      <c r="T366" s="897"/>
      <c r="U366" s="897"/>
      <c r="V366" s="897"/>
      <c r="W366" s="897"/>
      <c r="X366" s="897"/>
      <c r="Y366" s="897"/>
    </row>
    <row r="367" spans="1:25">
      <c r="A367" s="896"/>
      <c r="B367" s="896"/>
      <c r="C367" s="896"/>
      <c r="D367" s="896"/>
      <c r="E367" s="896"/>
      <c r="R367" s="897"/>
      <c r="S367" s="897"/>
      <c r="T367" s="897"/>
      <c r="U367" s="897"/>
      <c r="V367" s="897"/>
      <c r="W367" s="897"/>
      <c r="X367" s="897"/>
      <c r="Y367" s="897"/>
    </row>
    <row r="368" spans="1:25">
      <c r="A368" s="896"/>
      <c r="B368" s="896"/>
      <c r="C368" s="896"/>
      <c r="D368" s="896"/>
      <c r="E368" s="896"/>
      <c r="R368" s="897"/>
      <c r="S368" s="897"/>
      <c r="T368" s="897"/>
      <c r="U368" s="897"/>
      <c r="V368" s="897"/>
      <c r="W368" s="897"/>
      <c r="X368" s="897"/>
      <c r="Y368" s="897"/>
    </row>
    <row r="369" spans="1:25">
      <c r="A369" s="896"/>
      <c r="B369" s="896"/>
      <c r="C369" s="896"/>
      <c r="D369" s="896"/>
      <c r="E369" s="896"/>
      <c r="R369" s="897"/>
      <c r="S369" s="897"/>
      <c r="T369" s="897"/>
      <c r="U369" s="897"/>
      <c r="V369" s="897"/>
      <c r="W369" s="897"/>
      <c r="X369" s="897"/>
      <c r="Y369" s="897"/>
    </row>
    <row r="370" spans="1:25">
      <c r="A370" s="896"/>
      <c r="B370" s="896"/>
      <c r="C370" s="896"/>
      <c r="D370" s="896"/>
      <c r="E370" s="896"/>
      <c r="R370" s="897"/>
      <c r="S370" s="897"/>
      <c r="T370" s="897"/>
      <c r="U370" s="897"/>
      <c r="V370" s="897"/>
      <c r="W370" s="897"/>
      <c r="X370" s="897"/>
      <c r="Y370" s="897"/>
    </row>
    <row r="371" spans="1:25">
      <c r="A371" s="896"/>
      <c r="B371" s="896"/>
      <c r="C371" s="896"/>
      <c r="D371" s="896"/>
      <c r="E371" s="896"/>
      <c r="R371" s="897"/>
      <c r="S371" s="897"/>
      <c r="T371" s="897"/>
      <c r="U371" s="897"/>
      <c r="V371" s="897"/>
      <c r="W371" s="897"/>
      <c r="X371" s="897"/>
      <c r="Y371" s="897"/>
    </row>
    <row r="372" spans="1:25">
      <c r="A372" s="896"/>
      <c r="B372" s="896"/>
      <c r="C372" s="896"/>
      <c r="D372" s="896"/>
      <c r="E372" s="896"/>
      <c r="R372" s="897"/>
      <c r="S372" s="897"/>
      <c r="T372" s="897"/>
      <c r="U372" s="897"/>
      <c r="V372" s="897"/>
      <c r="W372" s="897"/>
      <c r="X372" s="897"/>
      <c r="Y372" s="897"/>
    </row>
    <row r="373" spans="1:25">
      <c r="A373" s="896"/>
      <c r="B373" s="896"/>
      <c r="C373" s="896"/>
      <c r="D373" s="896"/>
      <c r="E373" s="896"/>
      <c r="R373" s="897"/>
      <c r="S373" s="897"/>
      <c r="T373" s="897"/>
      <c r="U373" s="897"/>
      <c r="V373" s="897"/>
      <c r="W373" s="897"/>
      <c r="X373" s="897"/>
      <c r="Y373" s="897"/>
    </row>
    <row r="374" spans="1:25">
      <c r="A374" s="896"/>
      <c r="B374" s="896"/>
      <c r="C374" s="896"/>
      <c r="D374" s="896"/>
      <c r="E374" s="896"/>
      <c r="R374" s="897"/>
      <c r="S374" s="897"/>
      <c r="T374" s="897"/>
      <c r="U374" s="897"/>
      <c r="V374" s="897"/>
      <c r="W374" s="897"/>
      <c r="X374" s="897"/>
      <c r="Y374" s="897"/>
    </row>
    <row r="375" spans="1:25">
      <c r="A375" s="896"/>
      <c r="B375" s="896"/>
      <c r="C375" s="896"/>
      <c r="D375" s="896"/>
      <c r="E375" s="896"/>
      <c r="R375" s="897"/>
      <c r="S375" s="897"/>
      <c r="T375" s="897"/>
      <c r="U375" s="897"/>
      <c r="V375" s="897"/>
      <c r="W375" s="897"/>
      <c r="X375" s="897"/>
      <c r="Y375" s="897"/>
    </row>
    <row r="376" spans="1:25">
      <c r="A376" s="896"/>
      <c r="B376" s="896"/>
      <c r="C376" s="896"/>
      <c r="D376" s="896"/>
      <c r="E376" s="896"/>
      <c r="R376" s="897"/>
      <c r="S376" s="897"/>
      <c r="T376" s="897"/>
      <c r="U376" s="897"/>
      <c r="V376" s="897"/>
      <c r="W376" s="897"/>
      <c r="X376" s="897"/>
      <c r="Y376" s="897"/>
    </row>
    <row r="377" spans="1:25">
      <c r="A377" s="896"/>
      <c r="B377" s="896"/>
      <c r="C377" s="896"/>
      <c r="D377" s="896"/>
      <c r="E377" s="896"/>
      <c r="R377" s="897"/>
      <c r="S377" s="897"/>
      <c r="T377" s="897"/>
      <c r="U377" s="897"/>
      <c r="V377" s="897"/>
      <c r="W377" s="897"/>
      <c r="X377" s="897"/>
      <c r="Y377" s="897"/>
    </row>
    <row r="378" spans="1:25">
      <c r="A378" s="896"/>
      <c r="B378" s="896"/>
      <c r="C378" s="896"/>
      <c r="D378" s="896"/>
      <c r="E378" s="896"/>
      <c r="R378" s="897"/>
      <c r="S378" s="897"/>
      <c r="T378" s="897"/>
      <c r="U378" s="897"/>
      <c r="V378" s="897"/>
      <c r="W378" s="897"/>
      <c r="X378" s="897"/>
      <c r="Y378" s="897"/>
    </row>
    <row r="379" spans="1:25">
      <c r="A379" s="896"/>
      <c r="B379" s="896"/>
      <c r="C379" s="896"/>
      <c r="D379" s="896"/>
      <c r="E379" s="896"/>
      <c r="R379" s="897"/>
      <c r="S379" s="897"/>
      <c r="T379" s="897"/>
      <c r="U379" s="897"/>
      <c r="V379" s="897"/>
      <c r="W379" s="897"/>
      <c r="X379" s="897"/>
      <c r="Y379" s="897"/>
    </row>
    <row r="380" spans="1:25">
      <c r="A380" s="896"/>
      <c r="B380" s="896"/>
      <c r="C380" s="896"/>
      <c r="D380" s="896"/>
      <c r="E380" s="896"/>
      <c r="R380" s="897"/>
      <c r="S380" s="897"/>
      <c r="T380" s="897"/>
      <c r="U380" s="897"/>
      <c r="V380" s="897"/>
      <c r="W380" s="897"/>
      <c r="X380" s="897"/>
      <c r="Y380" s="897"/>
    </row>
    <row r="381" spans="1:25">
      <c r="A381" s="896"/>
      <c r="B381" s="896"/>
      <c r="C381" s="896"/>
      <c r="D381" s="896"/>
      <c r="E381" s="896"/>
      <c r="R381" s="897"/>
      <c r="S381" s="897"/>
      <c r="T381" s="897"/>
      <c r="U381" s="897"/>
      <c r="V381" s="897"/>
      <c r="W381" s="897"/>
      <c r="X381" s="897"/>
      <c r="Y381" s="897"/>
    </row>
    <row r="382" spans="1:25">
      <c r="A382" s="896"/>
      <c r="B382" s="896"/>
      <c r="C382" s="896"/>
      <c r="D382" s="896"/>
      <c r="E382" s="896"/>
      <c r="R382" s="897"/>
      <c r="S382" s="897"/>
      <c r="T382" s="897"/>
      <c r="U382" s="897"/>
      <c r="V382" s="897"/>
      <c r="W382" s="897"/>
      <c r="X382" s="897"/>
      <c r="Y382" s="897"/>
    </row>
    <row r="383" spans="1:25">
      <c r="A383" s="896"/>
      <c r="B383" s="896"/>
      <c r="C383" s="896"/>
      <c r="D383" s="896"/>
      <c r="E383" s="896"/>
      <c r="R383" s="897"/>
      <c r="S383" s="897"/>
      <c r="T383" s="897"/>
      <c r="U383" s="897"/>
      <c r="V383" s="897"/>
      <c r="W383" s="897"/>
      <c r="X383" s="897"/>
      <c r="Y383" s="897"/>
    </row>
    <row r="384" spans="1:25">
      <c r="A384" s="896"/>
      <c r="B384" s="896"/>
      <c r="C384" s="896"/>
      <c r="D384" s="896"/>
      <c r="E384" s="896"/>
      <c r="R384" s="897"/>
      <c r="S384" s="897"/>
      <c r="T384" s="897"/>
      <c r="U384" s="897"/>
      <c r="V384" s="897"/>
      <c r="W384" s="897"/>
      <c r="X384" s="897"/>
      <c r="Y384" s="897"/>
    </row>
    <row r="385" spans="1:25">
      <c r="A385" s="896"/>
      <c r="B385" s="896"/>
      <c r="C385" s="896"/>
      <c r="D385" s="896"/>
      <c r="E385" s="896"/>
      <c r="R385" s="897"/>
      <c r="S385" s="897"/>
      <c r="T385" s="897"/>
      <c r="U385" s="897"/>
      <c r="V385" s="897"/>
      <c r="W385" s="897"/>
      <c r="X385" s="897"/>
      <c r="Y385" s="897"/>
    </row>
    <row r="386" spans="1:25">
      <c r="A386" s="896"/>
      <c r="B386" s="896"/>
      <c r="C386" s="896"/>
      <c r="D386" s="896"/>
      <c r="E386" s="896"/>
      <c r="R386" s="897"/>
      <c r="S386" s="897"/>
      <c r="T386" s="897"/>
      <c r="U386" s="897"/>
      <c r="V386" s="897"/>
      <c r="W386" s="897"/>
      <c r="X386" s="897"/>
      <c r="Y386" s="897"/>
    </row>
    <row r="387" spans="1:25">
      <c r="A387" s="896"/>
      <c r="B387" s="896"/>
      <c r="C387" s="896"/>
      <c r="D387" s="896"/>
      <c r="E387" s="896"/>
      <c r="R387" s="897"/>
      <c r="S387" s="897"/>
      <c r="T387" s="897"/>
      <c r="U387" s="897"/>
      <c r="V387" s="897"/>
      <c r="W387" s="897"/>
      <c r="X387" s="897"/>
      <c r="Y387" s="897"/>
    </row>
    <row r="388" spans="1:25">
      <c r="A388" s="896"/>
      <c r="B388" s="896"/>
      <c r="C388" s="896"/>
      <c r="D388" s="896"/>
      <c r="E388" s="896"/>
      <c r="R388" s="897"/>
      <c r="S388" s="897"/>
      <c r="T388" s="897"/>
      <c r="U388" s="897"/>
      <c r="V388" s="897"/>
      <c r="W388" s="897"/>
      <c r="X388" s="897"/>
      <c r="Y388" s="897"/>
    </row>
    <row r="389" spans="1:25">
      <c r="A389" s="896"/>
      <c r="B389" s="896"/>
      <c r="C389" s="896"/>
      <c r="D389" s="896"/>
      <c r="E389" s="896"/>
      <c r="R389" s="897"/>
      <c r="S389" s="897"/>
      <c r="T389" s="897"/>
      <c r="U389" s="897"/>
      <c r="V389" s="897"/>
      <c r="W389" s="897"/>
      <c r="X389" s="897"/>
      <c r="Y389" s="897"/>
    </row>
    <row r="390" spans="1:25">
      <c r="A390" s="896"/>
      <c r="B390" s="896"/>
      <c r="C390" s="896"/>
      <c r="D390" s="896"/>
      <c r="E390" s="896"/>
      <c r="R390" s="897"/>
      <c r="S390" s="897"/>
      <c r="T390" s="897"/>
      <c r="U390" s="897"/>
      <c r="V390" s="897"/>
      <c r="W390" s="897"/>
      <c r="X390" s="897"/>
      <c r="Y390" s="897"/>
    </row>
    <row r="391" spans="1:25">
      <c r="A391" s="896"/>
      <c r="B391" s="896"/>
      <c r="C391" s="896"/>
      <c r="D391" s="896"/>
      <c r="E391" s="896"/>
      <c r="R391" s="897"/>
      <c r="S391" s="897"/>
      <c r="T391" s="897"/>
      <c r="U391" s="897"/>
      <c r="V391" s="897"/>
      <c r="W391" s="897"/>
      <c r="X391" s="897"/>
      <c r="Y391" s="897"/>
    </row>
    <row r="392" spans="1:25">
      <c r="A392" s="896"/>
      <c r="B392" s="896"/>
      <c r="C392" s="896"/>
      <c r="D392" s="896"/>
      <c r="E392" s="896"/>
      <c r="R392" s="897"/>
      <c r="S392" s="897"/>
      <c r="T392" s="897"/>
      <c r="U392" s="897"/>
      <c r="V392" s="897"/>
      <c r="W392" s="897"/>
      <c r="X392" s="897"/>
      <c r="Y392" s="897"/>
    </row>
    <row r="393" spans="1:25">
      <c r="A393" s="896"/>
      <c r="B393" s="896"/>
      <c r="C393" s="896"/>
      <c r="D393" s="896"/>
      <c r="E393" s="896"/>
      <c r="R393" s="897"/>
      <c r="S393" s="897"/>
      <c r="T393" s="897"/>
      <c r="U393" s="897"/>
      <c r="V393" s="897"/>
      <c r="W393" s="897"/>
      <c r="X393" s="897"/>
      <c r="Y393" s="897"/>
    </row>
    <row r="394" spans="1:25">
      <c r="A394" s="896"/>
      <c r="B394" s="896"/>
      <c r="C394" s="896"/>
      <c r="D394" s="896"/>
      <c r="E394" s="896"/>
      <c r="R394" s="897"/>
      <c r="S394" s="897"/>
      <c r="T394" s="897"/>
      <c r="U394" s="897"/>
      <c r="V394" s="897"/>
      <c r="W394" s="897"/>
      <c r="X394" s="897"/>
      <c r="Y394" s="897"/>
    </row>
    <row r="395" spans="1:25">
      <c r="A395" s="896"/>
      <c r="B395" s="896"/>
      <c r="C395" s="896"/>
      <c r="D395" s="896"/>
      <c r="E395" s="896"/>
      <c r="R395" s="897"/>
      <c r="S395" s="897"/>
      <c r="T395" s="897"/>
      <c r="U395" s="897"/>
      <c r="V395" s="897"/>
      <c r="W395" s="897"/>
      <c r="X395" s="897"/>
      <c r="Y395" s="897"/>
    </row>
    <row r="396" spans="1:25">
      <c r="A396" s="896"/>
      <c r="B396" s="896"/>
      <c r="C396" s="896"/>
      <c r="D396" s="896"/>
      <c r="E396" s="896"/>
      <c r="R396" s="897"/>
      <c r="S396" s="897"/>
      <c r="T396" s="897"/>
      <c r="U396" s="897"/>
      <c r="V396" s="897"/>
      <c r="W396" s="897"/>
      <c r="X396" s="897"/>
      <c r="Y396" s="897"/>
    </row>
    <row r="397" spans="1:25">
      <c r="A397" s="896"/>
      <c r="B397" s="896"/>
      <c r="C397" s="896"/>
      <c r="D397" s="896"/>
      <c r="E397" s="896"/>
      <c r="R397" s="897"/>
      <c r="S397" s="897"/>
      <c r="T397" s="897"/>
      <c r="U397" s="897"/>
      <c r="V397" s="897"/>
      <c r="W397" s="897"/>
      <c r="X397" s="897"/>
      <c r="Y397" s="897"/>
    </row>
    <row r="398" spans="1:25">
      <c r="A398" s="896"/>
      <c r="B398" s="896"/>
      <c r="C398" s="896"/>
      <c r="D398" s="896"/>
      <c r="E398" s="896"/>
      <c r="R398" s="897"/>
      <c r="S398" s="897"/>
      <c r="T398" s="897"/>
      <c r="U398" s="897"/>
      <c r="V398" s="897"/>
      <c r="W398" s="897"/>
      <c r="X398" s="897"/>
      <c r="Y398" s="897"/>
    </row>
    <row r="399" spans="1:25">
      <c r="A399" s="896"/>
      <c r="B399" s="896"/>
      <c r="C399" s="896"/>
      <c r="D399" s="896"/>
      <c r="E399" s="896"/>
      <c r="R399" s="897"/>
      <c r="S399" s="897"/>
      <c r="T399" s="897"/>
      <c r="U399" s="897"/>
      <c r="V399" s="897"/>
      <c r="W399" s="897"/>
      <c r="X399" s="897"/>
      <c r="Y399" s="897"/>
    </row>
    <row r="400" spans="1:25">
      <c r="A400" s="896"/>
      <c r="B400" s="896"/>
      <c r="C400" s="896"/>
      <c r="D400" s="896"/>
      <c r="E400" s="896"/>
      <c r="R400" s="897"/>
      <c r="S400" s="897"/>
      <c r="T400" s="897"/>
      <c r="U400" s="897"/>
      <c r="V400" s="897"/>
      <c r="W400" s="897"/>
      <c r="X400" s="897"/>
      <c r="Y400" s="897"/>
    </row>
    <row r="401" spans="1:25">
      <c r="A401" s="896"/>
      <c r="B401" s="896"/>
      <c r="C401" s="896"/>
      <c r="D401" s="896"/>
      <c r="E401" s="896"/>
      <c r="R401" s="897"/>
      <c r="S401" s="897"/>
      <c r="T401" s="897"/>
      <c r="U401" s="897"/>
      <c r="V401" s="897"/>
      <c r="W401" s="897"/>
      <c r="X401" s="897"/>
      <c r="Y401" s="897"/>
    </row>
    <row r="402" spans="1:25">
      <c r="A402" s="896"/>
      <c r="B402" s="896"/>
      <c r="C402" s="896"/>
      <c r="D402" s="896"/>
      <c r="E402" s="896"/>
      <c r="R402" s="897"/>
      <c r="S402" s="897"/>
      <c r="T402" s="897"/>
      <c r="U402" s="897"/>
      <c r="V402" s="897"/>
      <c r="W402" s="897"/>
      <c r="X402" s="897"/>
      <c r="Y402" s="897"/>
    </row>
    <row r="403" spans="1:25">
      <c r="A403" s="896"/>
      <c r="B403" s="896"/>
      <c r="C403" s="896"/>
      <c r="D403" s="896"/>
      <c r="E403" s="896"/>
      <c r="R403" s="897"/>
      <c r="S403" s="897"/>
      <c r="T403" s="897"/>
      <c r="U403" s="897"/>
      <c r="V403" s="897"/>
      <c r="W403" s="897"/>
      <c r="X403" s="897"/>
      <c r="Y403" s="897"/>
    </row>
    <row r="404" spans="1:25">
      <c r="A404" s="896"/>
      <c r="B404" s="896"/>
      <c r="C404" s="896"/>
      <c r="D404" s="896"/>
      <c r="E404" s="896"/>
      <c r="R404" s="897"/>
      <c r="S404" s="897"/>
      <c r="T404" s="897"/>
      <c r="U404" s="897"/>
      <c r="V404" s="897"/>
      <c r="W404" s="897"/>
      <c r="X404" s="897"/>
      <c r="Y404" s="897"/>
    </row>
    <row r="405" spans="1:25">
      <c r="A405" s="896"/>
      <c r="B405" s="896"/>
      <c r="C405" s="896"/>
      <c r="D405" s="896"/>
      <c r="E405" s="896"/>
      <c r="R405" s="897"/>
      <c r="S405" s="897"/>
      <c r="T405" s="897"/>
      <c r="U405" s="897"/>
      <c r="V405" s="897"/>
      <c r="W405" s="897"/>
      <c r="X405" s="897"/>
      <c r="Y405" s="897"/>
    </row>
    <row r="406" spans="1:25">
      <c r="A406" s="896"/>
      <c r="B406" s="896"/>
      <c r="C406" s="896"/>
      <c r="D406" s="896"/>
      <c r="E406" s="896"/>
      <c r="R406" s="897"/>
      <c r="S406" s="897"/>
      <c r="T406" s="897"/>
      <c r="U406" s="897"/>
      <c r="V406" s="897"/>
      <c r="W406" s="897"/>
      <c r="X406" s="897"/>
      <c r="Y406" s="897"/>
    </row>
    <row r="407" spans="1:25">
      <c r="A407" s="896"/>
      <c r="B407" s="896"/>
      <c r="C407" s="896"/>
      <c r="D407" s="896"/>
      <c r="E407" s="896"/>
      <c r="R407" s="897"/>
      <c r="S407" s="897"/>
      <c r="T407" s="897"/>
      <c r="U407" s="897"/>
      <c r="V407" s="897"/>
      <c r="W407" s="897"/>
      <c r="X407" s="897"/>
      <c r="Y407" s="897"/>
    </row>
    <row r="408" spans="1:25">
      <c r="A408" s="896"/>
      <c r="B408" s="896"/>
      <c r="C408" s="896"/>
      <c r="D408" s="896"/>
      <c r="E408" s="896"/>
      <c r="R408" s="897"/>
      <c r="S408" s="897"/>
      <c r="T408" s="897"/>
      <c r="U408" s="897"/>
      <c r="V408" s="897"/>
      <c r="W408" s="897"/>
      <c r="X408" s="897"/>
      <c r="Y408" s="897"/>
    </row>
    <row r="409" spans="1:25">
      <c r="A409" s="896"/>
      <c r="B409" s="896"/>
      <c r="C409" s="896"/>
      <c r="D409" s="896"/>
      <c r="E409" s="896"/>
      <c r="R409" s="897"/>
      <c r="S409" s="897"/>
      <c r="T409" s="897"/>
      <c r="U409" s="897"/>
      <c r="V409" s="897"/>
      <c r="W409" s="897"/>
      <c r="X409" s="897"/>
      <c r="Y409" s="897"/>
    </row>
    <row r="410" spans="1:25">
      <c r="A410" s="896"/>
      <c r="B410" s="896"/>
      <c r="C410" s="896"/>
      <c r="D410" s="896"/>
      <c r="E410" s="896"/>
      <c r="R410" s="897"/>
      <c r="S410" s="897"/>
      <c r="T410" s="897"/>
      <c r="U410" s="897"/>
      <c r="V410" s="897"/>
      <c r="W410" s="897"/>
      <c r="X410" s="897"/>
      <c r="Y410" s="897"/>
    </row>
    <row r="411" spans="1:25">
      <c r="A411" s="896"/>
      <c r="B411" s="896"/>
      <c r="C411" s="896"/>
      <c r="D411" s="896"/>
      <c r="E411" s="896"/>
      <c r="R411" s="897"/>
      <c r="S411" s="897"/>
      <c r="T411" s="897"/>
      <c r="U411" s="897"/>
      <c r="V411" s="897"/>
      <c r="W411" s="897"/>
      <c r="X411" s="897"/>
      <c r="Y411" s="897"/>
    </row>
    <row r="412" spans="1:25">
      <c r="A412" s="896"/>
      <c r="B412" s="896"/>
      <c r="C412" s="896"/>
      <c r="D412" s="896"/>
      <c r="E412" s="896"/>
      <c r="R412" s="897"/>
      <c r="S412" s="897"/>
      <c r="T412" s="897"/>
      <c r="U412" s="897"/>
      <c r="V412" s="897"/>
      <c r="W412" s="897"/>
      <c r="X412" s="897"/>
      <c r="Y412" s="897"/>
    </row>
    <row r="413" spans="1:25">
      <c r="A413" s="896"/>
      <c r="B413" s="896"/>
      <c r="C413" s="896"/>
      <c r="D413" s="896"/>
      <c r="E413" s="896"/>
      <c r="R413" s="897"/>
      <c r="S413" s="897"/>
      <c r="T413" s="897"/>
      <c r="U413" s="897"/>
      <c r="V413" s="897"/>
      <c r="W413" s="897"/>
      <c r="X413" s="897"/>
      <c r="Y413" s="897"/>
    </row>
    <row r="414" spans="1:25">
      <c r="A414" s="896"/>
      <c r="B414" s="896"/>
      <c r="C414" s="896"/>
      <c r="D414" s="896"/>
      <c r="E414" s="896"/>
      <c r="R414" s="897"/>
      <c r="S414" s="897"/>
      <c r="T414" s="897"/>
      <c r="U414" s="897"/>
      <c r="V414" s="897"/>
      <c r="W414" s="897"/>
      <c r="X414" s="897"/>
      <c r="Y414" s="897"/>
    </row>
    <row r="415" spans="1:25">
      <c r="A415" s="896"/>
      <c r="B415" s="896"/>
      <c r="C415" s="896"/>
      <c r="D415" s="896"/>
      <c r="E415" s="896"/>
      <c r="R415" s="897"/>
      <c r="S415" s="897"/>
      <c r="T415" s="897"/>
      <c r="U415" s="897"/>
      <c r="V415" s="897"/>
      <c r="W415" s="897"/>
      <c r="X415" s="897"/>
      <c r="Y415" s="897"/>
    </row>
    <row r="416" spans="1:25">
      <c r="A416" s="896"/>
      <c r="B416" s="896"/>
      <c r="C416" s="896"/>
      <c r="D416" s="896"/>
      <c r="E416" s="896"/>
      <c r="R416" s="897"/>
      <c r="S416" s="897"/>
      <c r="T416" s="897"/>
      <c r="U416" s="897"/>
      <c r="V416" s="897"/>
      <c r="W416" s="897"/>
      <c r="X416" s="897"/>
      <c r="Y416" s="897"/>
    </row>
    <row r="417" spans="1:25">
      <c r="A417" s="896"/>
      <c r="B417" s="896"/>
      <c r="C417" s="896"/>
      <c r="D417" s="896"/>
      <c r="E417" s="896"/>
      <c r="R417" s="897"/>
      <c r="S417" s="897"/>
      <c r="T417" s="897"/>
      <c r="U417" s="897"/>
      <c r="V417" s="897"/>
      <c r="W417" s="897"/>
      <c r="X417" s="897"/>
      <c r="Y417" s="897"/>
    </row>
    <row r="418" spans="1:25">
      <c r="A418" s="896"/>
      <c r="B418" s="896"/>
      <c r="C418" s="896"/>
      <c r="D418" s="896"/>
      <c r="E418" s="896"/>
      <c r="R418" s="897"/>
      <c r="S418" s="897"/>
      <c r="T418" s="897"/>
      <c r="U418" s="897"/>
      <c r="V418" s="897"/>
      <c r="W418" s="897"/>
      <c r="X418" s="897"/>
      <c r="Y418" s="897"/>
    </row>
    <row r="419" spans="1:25">
      <c r="A419" s="896"/>
      <c r="B419" s="896"/>
      <c r="C419" s="896"/>
      <c r="D419" s="896"/>
      <c r="E419" s="896"/>
      <c r="R419" s="897"/>
      <c r="S419" s="897"/>
      <c r="T419" s="897"/>
      <c r="U419" s="897"/>
      <c r="V419" s="897"/>
      <c r="W419" s="897"/>
      <c r="X419" s="897"/>
      <c r="Y419" s="897"/>
    </row>
    <row r="420" spans="1:25">
      <c r="A420" s="896"/>
      <c r="B420" s="896"/>
      <c r="C420" s="896"/>
      <c r="D420" s="896"/>
      <c r="E420" s="896"/>
      <c r="R420" s="897"/>
      <c r="S420" s="897"/>
      <c r="T420" s="897"/>
      <c r="U420" s="897"/>
      <c r="V420" s="897"/>
      <c r="W420" s="897"/>
      <c r="X420" s="897"/>
      <c r="Y420" s="897"/>
    </row>
    <row r="421" spans="1:25">
      <c r="A421" s="896"/>
      <c r="B421" s="896"/>
      <c r="C421" s="896"/>
      <c r="D421" s="896"/>
      <c r="E421" s="896"/>
      <c r="R421" s="897"/>
      <c r="S421" s="897"/>
      <c r="T421" s="897"/>
      <c r="U421" s="897"/>
      <c r="V421" s="897"/>
      <c r="W421" s="897"/>
      <c r="X421" s="897"/>
      <c r="Y421" s="897"/>
    </row>
    <row r="422" spans="1:25">
      <c r="A422" s="896"/>
      <c r="B422" s="896"/>
      <c r="C422" s="896"/>
      <c r="D422" s="896"/>
      <c r="E422" s="896"/>
      <c r="R422" s="897"/>
      <c r="S422" s="897"/>
      <c r="T422" s="897"/>
      <c r="U422" s="897"/>
      <c r="V422" s="897"/>
      <c r="W422" s="897"/>
      <c r="X422" s="897"/>
      <c r="Y422" s="897"/>
    </row>
    <row r="423" spans="1:25">
      <c r="A423" s="896"/>
      <c r="B423" s="896"/>
      <c r="C423" s="896"/>
      <c r="D423" s="896"/>
      <c r="E423" s="896"/>
      <c r="R423" s="897"/>
      <c r="S423" s="897"/>
      <c r="T423" s="897"/>
      <c r="U423" s="897"/>
      <c r="V423" s="897"/>
      <c r="W423" s="897"/>
      <c r="X423" s="897"/>
      <c r="Y423" s="897"/>
    </row>
    <row r="424" spans="1:25">
      <c r="A424" s="896"/>
      <c r="B424" s="896"/>
      <c r="C424" s="896"/>
      <c r="D424" s="896"/>
      <c r="E424" s="896"/>
      <c r="R424" s="897"/>
      <c r="S424" s="897"/>
      <c r="T424" s="897"/>
      <c r="U424" s="897"/>
      <c r="V424" s="897"/>
      <c r="W424" s="897"/>
      <c r="X424" s="897"/>
      <c r="Y424" s="897"/>
    </row>
    <row r="425" spans="1:25">
      <c r="A425" s="896"/>
      <c r="B425" s="896"/>
      <c r="C425" s="896"/>
      <c r="D425" s="896"/>
      <c r="E425" s="896"/>
      <c r="R425" s="897"/>
      <c r="S425" s="897"/>
      <c r="T425" s="897"/>
      <c r="U425" s="897"/>
      <c r="V425" s="897"/>
      <c r="W425" s="897"/>
      <c r="X425" s="897"/>
      <c r="Y425" s="897"/>
    </row>
    <row r="426" spans="1:25">
      <c r="A426" s="896"/>
      <c r="B426" s="896"/>
      <c r="C426" s="896"/>
      <c r="D426" s="896"/>
      <c r="E426" s="896"/>
      <c r="R426" s="897"/>
      <c r="S426" s="897"/>
      <c r="T426" s="897"/>
      <c r="U426" s="897"/>
      <c r="V426" s="897"/>
      <c r="W426" s="897"/>
      <c r="X426" s="897"/>
      <c r="Y426" s="897"/>
    </row>
    <row r="427" spans="1:25">
      <c r="A427" s="896"/>
      <c r="B427" s="896"/>
      <c r="C427" s="896"/>
      <c r="D427" s="896"/>
      <c r="E427" s="896"/>
      <c r="R427" s="897"/>
      <c r="S427" s="897"/>
      <c r="T427" s="897"/>
      <c r="U427" s="897"/>
      <c r="V427" s="897"/>
      <c r="W427" s="897"/>
      <c r="X427" s="897"/>
      <c r="Y427" s="897"/>
    </row>
    <row r="428" spans="1:25">
      <c r="A428" s="896"/>
      <c r="B428" s="896"/>
      <c r="C428" s="896"/>
      <c r="D428" s="896"/>
      <c r="E428" s="896"/>
      <c r="R428" s="897"/>
      <c r="S428" s="897"/>
      <c r="T428" s="897"/>
      <c r="U428" s="897"/>
      <c r="V428" s="897"/>
      <c r="W428" s="897"/>
      <c r="X428" s="897"/>
      <c r="Y428" s="897"/>
    </row>
    <row r="429" spans="1:25">
      <c r="A429" s="896"/>
      <c r="B429" s="896"/>
      <c r="C429" s="896"/>
      <c r="D429" s="896"/>
      <c r="E429" s="896"/>
      <c r="R429" s="897"/>
      <c r="S429" s="897"/>
      <c r="T429" s="897"/>
      <c r="U429" s="897"/>
      <c r="V429" s="897"/>
      <c r="W429" s="897"/>
      <c r="X429" s="897"/>
      <c r="Y429" s="897"/>
    </row>
    <row r="430" spans="1:25">
      <c r="A430" s="896"/>
      <c r="B430" s="896"/>
      <c r="C430" s="896"/>
      <c r="D430" s="896"/>
      <c r="E430" s="896"/>
      <c r="R430" s="897"/>
      <c r="S430" s="897"/>
      <c r="T430" s="897"/>
      <c r="U430" s="897"/>
      <c r="V430" s="897"/>
      <c r="W430" s="897"/>
      <c r="X430" s="897"/>
      <c r="Y430" s="897"/>
    </row>
    <row r="431" spans="1:25">
      <c r="A431" s="896"/>
      <c r="B431" s="896"/>
      <c r="C431" s="896"/>
      <c r="D431" s="896"/>
      <c r="E431" s="896"/>
      <c r="R431" s="897"/>
      <c r="S431" s="897"/>
      <c r="T431" s="897"/>
      <c r="U431" s="897"/>
      <c r="V431" s="897"/>
      <c r="W431" s="897"/>
      <c r="X431" s="897"/>
      <c r="Y431" s="897"/>
    </row>
    <row r="432" spans="1:25">
      <c r="A432" s="896"/>
      <c r="B432" s="896"/>
      <c r="C432" s="896"/>
      <c r="D432" s="896"/>
      <c r="E432" s="896"/>
      <c r="R432" s="897"/>
      <c r="S432" s="897"/>
      <c r="T432" s="897"/>
      <c r="U432" s="897"/>
      <c r="V432" s="897"/>
      <c r="W432" s="897"/>
      <c r="X432" s="897"/>
      <c r="Y432" s="897"/>
    </row>
    <row r="433" spans="1:25">
      <c r="A433" s="896"/>
      <c r="B433" s="896"/>
      <c r="C433" s="896"/>
      <c r="D433" s="896"/>
      <c r="E433" s="896"/>
      <c r="R433" s="897"/>
      <c r="S433" s="897"/>
      <c r="T433" s="897"/>
      <c r="U433" s="897"/>
      <c r="V433" s="897"/>
      <c r="W433" s="897"/>
      <c r="X433" s="897"/>
      <c r="Y433" s="897"/>
    </row>
    <row r="434" spans="1:25">
      <c r="A434" s="896"/>
      <c r="B434" s="896"/>
      <c r="C434" s="896"/>
      <c r="D434" s="896"/>
      <c r="E434" s="896"/>
      <c r="R434" s="897"/>
      <c r="S434" s="897"/>
      <c r="T434" s="897"/>
      <c r="U434" s="897"/>
      <c r="V434" s="897"/>
      <c r="W434" s="897"/>
      <c r="X434" s="897"/>
      <c r="Y434" s="897"/>
    </row>
    <row r="435" spans="1:25">
      <c r="A435" s="896"/>
      <c r="B435" s="896"/>
      <c r="C435" s="896"/>
      <c r="D435" s="896"/>
      <c r="E435" s="896"/>
      <c r="R435" s="897"/>
      <c r="S435" s="897"/>
      <c r="T435" s="897"/>
      <c r="U435" s="897"/>
      <c r="V435" s="897"/>
      <c r="W435" s="897"/>
      <c r="X435" s="897"/>
      <c r="Y435" s="897"/>
    </row>
    <row r="436" spans="1:25">
      <c r="A436" s="896"/>
      <c r="B436" s="896"/>
      <c r="C436" s="896"/>
      <c r="D436" s="896"/>
      <c r="E436" s="896"/>
      <c r="R436" s="897"/>
      <c r="S436" s="897"/>
      <c r="T436" s="897"/>
      <c r="U436" s="897"/>
      <c r="V436" s="897"/>
      <c r="W436" s="897"/>
      <c r="X436" s="897"/>
      <c r="Y436" s="897"/>
    </row>
    <row r="437" spans="1:25">
      <c r="A437" s="896"/>
      <c r="B437" s="896"/>
      <c r="C437" s="896"/>
      <c r="D437" s="896"/>
      <c r="E437" s="896"/>
      <c r="R437" s="897"/>
      <c r="S437" s="897"/>
      <c r="T437" s="897"/>
      <c r="U437" s="897"/>
      <c r="V437" s="897"/>
      <c r="W437" s="897"/>
      <c r="X437" s="897"/>
      <c r="Y437" s="897"/>
    </row>
    <row r="438" spans="1:25">
      <c r="A438" s="896"/>
      <c r="B438" s="896"/>
      <c r="C438" s="896"/>
      <c r="D438" s="896"/>
      <c r="E438" s="896"/>
      <c r="R438" s="897"/>
      <c r="S438" s="897"/>
      <c r="T438" s="897"/>
      <c r="U438" s="897"/>
      <c r="V438" s="897"/>
      <c r="W438" s="897"/>
      <c r="X438" s="897"/>
      <c r="Y438" s="897"/>
    </row>
    <row r="439" spans="1:25">
      <c r="A439" s="896"/>
      <c r="B439" s="896"/>
      <c r="C439" s="896"/>
      <c r="D439" s="896"/>
      <c r="E439" s="896"/>
      <c r="R439" s="897"/>
      <c r="S439" s="897"/>
      <c r="T439" s="897"/>
      <c r="U439" s="897"/>
      <c r="V439" s="897"/>
      <c r="W439" s="897"/>
      <c r="X439" s="897"/>
      <c r="Y439" s="897"/>
    </row>
    <row r="440" spans="1:25">
      <c r="A440" s="896"/>
      <c r="B440" s="896"/>
      <c r="C440" s="896"/>
      <c r="D440" s="896"/>
      <c r="E440" s="896"/>
      <c r="R440" s="897"/>
      <c r="S440" s="897"/>
      <c r="T440" s="897"/>
      <c r="U440" s="897"/>
      <c r="V440" s="897"/>
      <c r="W440" s="897"/>
      <c r="X440" s="897"/>
      <c r="Y440" s="897"/>
    </row>
    <row r="441" spans="1:25">
      <c r="A441" s="896"/>
      <c r="B441" s="896"/>
      <c r="C441" s="896"/>
      <c r="D441" s="896"/>
      <c r="E441" s="896"/>
      <c r="R441" s="897"/>
      <c r="S441" s="897"/>
      <c r="T441" s="897"/>
      <c r="U441" s="897"/>
      <c r="V441" s="897"/>
      <c r="W441" s="897"/>
      <c r="X441" s="897"/>
      <c r="Y441" s="897"/>
    </row>
    <row r="442" spans="1:25">
      <c r="A442" s="896"/>
      <c r="B442" s="896"/>
      <c r="C442" s="896"/>
      <c r="D442" s="896"/>
      <c r="E442" s="896"/>
      <c r="R442" s="897"/>
      <c r="S442" s="897"/>
      <c r="T442" s="897"/>
      <c r="U442" s="897"/>
      <c r="V442" s="897"/>
      <c r="W442" s="897"/>
      <c r="X442" s="897"/>
      <c r="Y442" s="897"/>
    </row>
    <row r="443" spans="1:25">
      <c r="A443" s="896"/>
      <c r="B443" s="896"/>
      <c r="C443" s="896"/>
      <c r="D443" s="896"/>
      <c r="E443" s="896"/>
      <c r="R443" s="897"/>
      <c r="S443" s="897"/>
      <c r="T443" s="897"/>
      <c r="U443" s="897"/>
      <c r="V443" s="897"/>
      <c r="W443" s="897"/>
      <c r="X443" s="897"/>
      <c r="Y443" s="897"/>
    </row>
    <row r="444" spans="1:25">
      <c r="A444" s="896"/>
      <c r="B444" s="896"/>
      <c r="C444" s="896"/>
      <c r="D444" s="896"/>
      <c r="E444" s="896"/>
      <c r="R444" s="897"/>
      <c r="S444" s="897"/>
      <c r="T444" s="897"/>
      <c r="U444" s="897"/>
      <c r="V444" s="897"/>
      <c r="W444" s="897"/>
      <c r="X444" s="897"/>
      <c r="Y444" s="897"/>
    </row>
    <row r="445" spans="1:25">
      <c r="A445" s="896"/>
      <c r="B445" s="896"/>
      <c r="C445" s="896"/>
      <c r="D445" s="896"/>
      <c r="E445" s="896"/>
      <c r="R445" s="897"/>
      <c r="S445" s="897"/>
      <c r="T445" s="897"/>
      <c r="U445" s="897"/>
      <c r="V445" s="897"/>
      <c r="W445" s="897"/>
      <c r="X445" s="897"/>
      <c r="Y445" s="897"/>
    </row>
    <row r="446" spans="1:25">
      <c r="A446" s="896"/>
      <c r="B446" s="896"/>
      <c r="C446" s="896"/>
      <c r="D446" s="896"/>
      <c r="E446" s="896"/>
      <c r="R446" s="897"/>
      <c r="S446" s="897"/>
      <c r="T446" s="897"/>
      <c r="U446" s="897"/>
      <c r="V446" s="897"/>
      <c r="W446" s="897"/>
      <c r="X446" s="897"/>
      <c r="Y446" s="897"/>
    </row>
    <row r="447" spans="1:25">
      <c r="A447" s="896"/>
      <c r="B447" s="896"/>
      <c r="C447" s="896"/>
      <c r="D447" s="896"/>
      <c r="E447" s="896"/>
      <c r="R447" s="897"/>
      <c r="S447" s="897"/>
      <c r="T447" s="897"/>
      <c r="U447" s="897"/>
      <c r="V447" s="897"/>
      <c r="W447" s="897"/>
      <c r="X447" s="897"/>
      <c r="Y447" s="897"/>
    </row>
    <row r="448" spans="1:25">
      <c r="A448" s="896"/>
      <c r="B448" s="896"/>
      <c r="C448" s="896"/>
      <c r="D448" s="896"/>
      <c r="E448" s="896"/>
      <c r="R448" s="897"/>
      <c r="S448" s="897"/>
      <c r="T448" s="897"/>
      <c r="U448" s="897"/>
      <c r="V448" s="897"/>
      <c r="W448" s="897"/>
      <c r="X448" s="897"/>
      <c r="Y448" s="897"/>
    </row>
    <row r="449" spans="1:25">
      <c r="A449" s="896"/>
      <c r="B449" s="896"/>
      <c r="C449" s="896"/>
      <c r="D449" s="896"/>
      <c r="E449" s="896"/>
      <c r="R449" s="897"/>
      <c r="S449" s="897"/>
      <c r="T449" s="897"/>
      <c r="U449" s="897"/>
      <c r="V449" s="897"/>
      <c r="W449" s="897"/>
      <c r="X449" s="897"/>
      <c r="Y449" s="897"/>
    </row>
    <row r="450" spans="1:25">
      <c r="A450" s="896"/>
      <c r="B450" s="896"/>
      <c r="C450" s="896"/>
      <c r="D450" s="896"/>
      <c r="E450" s="896"/>
      <c r="R450" s="897"/>
      <c r="S450" s="897"/>
      <c r="T450" s="897"/>
      <c r="U450" s="897"/>
      <c r="V450" s="897"/>
      <c r="W450" s="897"/>
      <c r="X450" s="897"/>
      <c r="Y450" s="897"/>
    </row>
    <row r="451" spans="1:25">
      <c r="A451" s="896"/>
      <c r="B451" s="896"/>
      <c r="C451" s="896"/>
      <c r="D451" s="896"/>
      <c r="E451" s="896"/>
      <c r="R451" s="897"/>
      <c r="S451" s="897"/>
      <c r="T451" s="897"/>
      <c r="U451" s="897"/>
      <c r="V451" s="897"/>
      <c r="W451" s="897"/>
      <c r="X451" s="897"/>
      <c r="Y451" s="897"/>
    </row>
    <row r="452" spans="1:25">
      <c r="A452" s="896"/>
      <c r="B452" s="896"/>
      <c r="C452" s="896"/>
      <c r="D452" s="896"/>
      <c r="E452" s="896"/>
      <c r="R452" s="897"/>
      <c r="S452" s="897"/>
      <c r="T452" s="897"/>
      <c r="U452" s="897"/>
      <c r="V452" s="897"/>
      <c r="W452" s="897"/>
      <c r="X452" s="897"/>
      <c r="Y452" s="897"/>
    </row>
    <row r="453" spans="1:25">
      <c r="A453" s="896"/>
      <c r="B453" s="896"/>
      <c r="C453" s="896"/>
      <c r="D453" s="896"/>
      <c r="E453" s="896"/>
      <c r="R453" s="897"/>
      <c r="S453" s="897"/>
      <c r="T453" s="897"/>
      <c r="U453" s="897"/>
      <c r="V453" s="897"/>
      <c r="W453" s="897"/>
      <c r="X453" s="897"/>
      <c r="Y453" s="897"/>
    </row>
    <row r="454" spans="1:25">
      <c r="A454" s="896"/>
      <c r="B454" s="896"/>
      <c r="C454" s="896"/>
      <c r="D454" s="896"/>
      <c r="E454" s="896"/>
      <c r="R454" s="897"/>
      <c r="S454" s="897"/>
      <c r="T454" s="897"/>
      <c r="U454" s="897"/>
      <c r="V454" s="897"/>
      <c r="W454" s="897"/>
      <c r="X454" s="897"/>
      <c r="Y454" s="897"/>
    </row>
    <row r="455" spans="1:25">
      <c r="A455" s="896"/>
      <c r="B455" s="896"/>
      <c r="C455" s="896"/>
      <c r="D455" s="896"/>
      <c r="E455" s="896"/>
      <c r="R455" s="897"/>
      <c r="S455" s="897"/>
      <c r="T455" s="897"/>
      <c r="U455" s="897"/>
      <c r="V455" s="897"/>
      <c r="W455" s="897"/>
      <c r="X455" s="897"/>
      <c r="Y455" s="897"/>
    </row>
    <row r="456" spans="1:25">
      <c r="A456" s="896"/>
      <c r="B456" s="896"/>
      <c r="C456" s="896"/>
      <c r="D456" s="896"/>
      <c r="E456" s="896"/>
      <c r="R456" s="897"/>
      <c r="S456" s="897"/>
      <c r="T456" s="897"/>
      <c r="U456" s="897"/>
      <c r="V456" s="897"/>
      <c r="W456" s="897"/>
      <c r="X456" s="897"/>
      <c r="Y456" s="897"/>
    </row>
    <row r="457" spans="1:25">
      <c r="A457" s="896"/>
      <c r="B457" s="896"/>
      <c r="C457" s="896"/>
      <c r="D457" s="896"/>
      <c r="E457" s="896"/>
      <c r="R457" s="897"/>
      <c r="S457" s="897"/>
      <c r="T457" s="897"/>
      <c r="U457" s="897"/>
      <c r="V457" s="897"/>
      <c r="W457" s="897"/>
      <c r="X457" s="897"/>
      <c r="Y457" s="897"/>
    </row>
    <row r="458" spans="1:25">
      <c r="A458" s="896"/>
      <c r="B458" s="896"/>
      <c r="C458" s="896"/>
      <c r="D458" s="896"/>
      <c r="E458" s="896"/>
      <c r="R458" s="897"/>
      <c r="S458" s="897"/>
      <c r="T458" s="897"/>
      <c r="U458" s="897"/>
      <c r="V458" s="897"/>
      <c r="W458" s="897"/>
      <c r="X458" s="897"/>
      <c r="Y458" s="897"/>
    </row>
    <row r="459" spans="1:25">
      <c r="A459" s="896"/>
      <c r="B459" s="896"/>
      <c r="C459" s="896"/>
      <c r="D459" s="896"/>
      <c r="E459" s="896"/>
      <c r="R459" s="897"/>
      <c r="S459" s="897"/>
      <c r="T459" s="897"/>
      <c r="U459" s="897"/>
      <c r="V459" s="897"/>
      <c r="W459" s="897"/>
      <c r="X459" s="897"/>
      <c r="Y459" s="897"/>
    </row>
    <row r="460" spans="1:25">
      <c r="A460" s="896"/>
      <c r="B460" s="896"/>
      <c r="C460" s="896"/>
      <c r="D460" s="896"/>
      <c r="E460" s="896"/>
      <c r="R460" s="897"/>
      <c r="S460" s="897"/>
      <c r="T460" s="897"/>
      <c r="U460" s="897"/>
      <c r="V460" s="897"/>
      <c r="W460" s="897"/>
      <c r="X460" s="897"/>
      <c r="Y460" s="897"/>
    </row>
    <row r="461" spans="1:25">
      <c r="A461" s="896"/>
      <c r="B461" s="896"/>
      <c r="C461" s="896"/>
      <c r="D461" s="896"/>
      <c r="E461" s="896"/>
      <c r="R461" s="897"/>
      <c r="S461" s="897"/>
      <c r="T461" s="897"/>
      <c r="U461" s="897"/>
      <c r="V461" s="897"/>
      <c r="W461" s="897"/>
      <c r="X461" s="897"/>
      <c r="Y461" s="897"/>
    </row>
    <row r="462" spans="1:25">
      <c r="A462" s="896"/>
      <c r="B462" s="896"/>
      <c r="C462" s="896"/>
      <c r="D462" s="896"/>
      <c r="E462" s="896"/>
      <c r="R462" s="897"/>
      <c r="S462" s="897"/>
      <c r="T462" s="897"/>
      <c r="U462" s="897"/>
      <c r="V462" s="897"/>
      <c r="W462" s="897"/>
      <c r="X462" s="897"/>
      <c r="Y462" s="897"/>
    </row>
    <row r="463" spans="1:25">
      <c r="A463" s="896"/>
      <c r="B463" s="896"/>
      <c r="C463" s="896"/>
      <c r="D463" s="896"/>
      <c r="E463" s="896"/>
      <c r="R463" s="897"/>
      <c r="S463" s="897"/>
      <c r="T463" s="897"/>
      <c r="U463" s="897"/>
      <c r="V463" s="897"/>
      <c r="W463" s="897"/>
      <c r="X463" s="897"/>
      <c r="Y463" s="897"/>
    </row>
    <row r="464" spans="1:25">
      <c r="A464" s="896"/>
      <c r="B464" s="896"/>
      <c r="C464" s="896"/>
      <c r="D464" s="896"/>
      <c r="E464" s="896"/>
      <c r="R464" s="897"/>
      <c r="S464" s="897"/>
      <c r="T464" s="897"/>
      <c r="U464" s="897"/>
      <c r="V464" s="897"/>
      <c r="W464" s="897"/>
      <c r="X464" s="897"/>
      <c r="Y464" s="897"/>
    </row>
    <row r="465" spans="1:25">
      <c r="A465" s="896"/>
      <c r="B465" s="896"/>
      <c r="C465" s="896"/>
      <c r="D465" s="896"/>
      <c r="E465" s="896"/>
      <c r="R465" s="897"/>
      <c r="S465" s="897"/>
      <c r="T465" s="897"/>
      <c r="U465" s="897"/>
      <c r="V465" s="897"/>
      <c r="W465" s="897"/>
      <c r="X465" s="897"/>
      <c r="Y465" s="897"/>
    </row>
    <row r="466" spans="1:25">
      <c r="A466" s="896"/>
      <c r="B466" s="896"/>
      <c r="C466" s="896"/>
      <c r="D466" s="896"/>
      <c r="E466" s="896"/>
      <c r="R466" s="897"/>
      <c r="S466" s="897"/>
      <c r="T466" s="897"/>
      <c r="U466" s="897"/>
      <c r="V466" s="897"/>
      <c r="W466" s="897"/>
      <c r="X466" s="897"/>
      <c r="Y466" s="897"/>
    </row>
    <row r="467" spans="1:25">
      <c r="A467" s="896"/>
      <c r="B467" s="896"/>
      <c r="C467" s="896"/>
      <c r="D467" s="896"/>
      <c r="E467" s="896"/>
      <c r="R467" s="897"/>
      <c r="S467" s="897"/>
      <c r="T467" s="897"/>
      <c r="U467" s="897"/>
      <c r="V467" s="897"/>
      <c r="W467" s="897"/>
      <c r="X467" s="897"/>
      <c r="Y467" s="897"/>
    </row>
    <row r="468" spans="1:25">
      <c r="A468" s="896"/>
      <c r="B468" s="896"/>
      <c r="C468" s="896"/>
      <c r="D468" s="896"/>
      <c r="E468" s="896"/>
      <c r="R468" s="897"/>
      <c r="S468" s="897"/>
      <c r="T468" s="897"/>
      <c r="U468" s="897"/>
      <c r="V468" s="897"/>
      <c r="W468" s="897"/>
      <c r="X468" s="897"/>
      <c r="Y468" s="897"/>
    </row>
    <row r="469" spans="1:25">
      <c r="A469" s="896"/>
      <c r="B469" s="896"/>
      <c r="C469" s="896"/>
      <c r="D469" s="896"/>
      <c r="E469" s="896"/>
      <c r="R469" s="897"/>
      <c r="S469" s="897"/>
      <c r="T469" s="897"/>
      <c r="U469" s="897"/>
      <c r="V469" s="897"/>
      <c r="W469" s="897"/>
      <c r="X469" s="897"/>
      <c r="Y469" s="897"/>
    </row>
    <row r="470" spans="1:25">
      <c r="A470" s="896"/>
      <c r="B470" s="896"/>
      <c r="C470" s="896"/>
      <c r="D470" s="896"/>
      <c r="E470" s="896"/>
      <c r="R470" s="897"/>
      <c r="S470" s="897"/>
      <c r="T470" s="897"/>
      <c r="U470" s="897"/>
      <c r="V470" s="897"/>
      <c r="W470" s="897"/>
      <c r="X470" s="897"/>
      <c r="Y470" s="897"/>
    </row>
    <row r="471" spans="1:25">
      <c r="A471" s="896"/>
      <c r="B471" s="896"/>
      <c r="C471" s="896"/>
      <c r="D471" s="896"/>
      <c r="E471" s="896"/>
      <c r="R471" s="897"/>
      <c r="S471" s="897"/>
      <c r="T471" s="897"/>
      <c r="U471" s="897"/>
      <c r="V471" s="897"/>
      <c r="W471" s="897"/>
      <c r="X471" s="897"/>
      <c r="Y471" s="897"/>
    </row>
    <row r="472" spans="1:25">
      <c r="A472" s="896"/>
      <c r="B472" s="896"/>
      <c r="C472" s="896"/>
      <c r="D472" s="896"/>
      <c r="E472" s="896"/>
      <c r="R472" s="897"/>
      <c r="S472" s="897"/>
      <c r="T472" s="897"/>
      <c r="U472" s="897"/>
      <c r="V472" s="897"/>
      <c r="W472" s="897"/>
      <c r="X472" s="897"/>
      <c r="Y472" s="897"/>
    </row>
    <row r="473" spans="1:25">
      <c r="A473" s="896"/>
      <c r="B473" s="896"/>
      <c r="C473" s="896"/>
      <c r="D473" s="896"/>
      <c r="E473" s="896"/>
      <c r="R473" s="897"/>
      <c r="S473" s="897"/>
      <c r="T473" s="897"/>
      <c r="U473" s="897"/>
      <c r="V473" s="897"/>
      <c r="W473" s="897"/>
      <c r="X473" s="897"/>
      <c r="Y473" s="897"/>
    </row>
    <row r="474" spans="1:25">
      <c r="A474" s="896"/>
      <c r="B474" s="896"/>
      <c r="C474" s="896"/>
      <c r="D474" s="896"/>
      <c r="E474" s="896"/>
      <c r="R474" s="897"/>
      <c r="S474" s="897"/>
      <c r="T474" s="897"/>
      <c r="U474" s="897"/>
      <c r="V474" s="897"/>
      <c r="W474" s="897"/>
      <c r="X474" s="897"/>
      <c r="Y474" s="897"/>
    </row>
    <row r="475" spans="1:25">
      <c r="A475" s="896"/>
      <c r="B475" s="896"/>
      <c r="C475" s="896"/>
      <c r="D475" s="896"/>
      <c r="E475" s="896"/>
      <c r="R475" s="897"/>
      <c r="S475" s="897"/>
      <c r="T475" s="897"/>
      <c r="U475" s="897"/>
      <c r="V475" s="897"/>
      <c r="W475" s="897"/>
      <c r="X475" s="897"/>
      <c r="Y475" s="897"/>
    </row>
    <row r="476" spans="1:25">
      <c r="A476" s="896"/>
      <c r="B476" s="896"/>
      <c r="C476" s="896"/>
      <c r="D476" s="896"/>
      <c r="E476" s="896"/>
      <c r="R476" s="897"/>
      <c r="S476" s="897"/>
      <c r="T476" s="897"/>
      <c r="U476" s="897"/>
      <c r="V476" s="897"/>
      <c r="W476" s="897"/>
      <c r="X476" s="897"/>
      <c r="Y476" s="897"/>
    </row>
    <row r="477" spans="1:25">
      <c r="A477" s="896"/>
      <c r="B477" s="896"/>
      <c r="C477" s="896"/>
      <c r="D477" s="896"/>
      <c r="E477" s="896"/>
      <c r="R477" s="897"/>
      <c r="S477" s="897"/>
      <c r="T477" s="897"/>
      <c r="U477" s="897"/>
      <c r="V477" s="897"/>
      <c r="W477" s="897"/>
      <c r="X477" s="897"/>
      <c r="Y477" s="897"/>
    </row>
    <row r="478" spans="1:25">
      <c r="A478" s="896"/>
      <c r="B478" s="896"/>
      <c r="C478" s="896"/>
      <c r="D478" s="896"/>
      <c r="E478" s="896"/>
      <c r="R478" s="897"/>
      <c r="S478" s="897"/>
      <c r="T478" s="897"/>
      <c r="U478" s="897"/>
      <c r="V478" s="897"/>
      <c r="W478" s="897"/>
      <c r="X478" s="897"/>
      <c r="Y478" s="897"/>
    </row>
    <row r="479" spans="1:25">
      <c r="A479" s="896"/>
      <c r="B479" s="896"/>
      <c r="C479" s="896"/>
      <c r="D479" s="896"/>
      <c r="E479" s="896"/>
      <c r="R479" s="897"/>
      <c r="S479" s="897"/>
      <c r="T479" s="897"/>
      <c r="U479" s="897"/>
      <c r="V479" s="897"/>
      <c r="W479" s="897"/>
      <c r="X479" s="897"/>
      <c r="Y479" s="897"/>
    </row>
    <row r="480" spans="1:25">
      <c r="A480" s="896"/>
      <c r="B480" s="896"/>
      <c r="C480" s="896"/>
      <c r="D480" s="896"/>
      <c r="E480" s="896"/>
      <c r="R480" s="897"/>
      <c r="S480" s="897"/>
      <c r="T480" s="897"/>
      <c r="U480" s="897"/>
      <c r="V480" s="897"/>
      <c r="W480" s="897"/>
      <c r="X480" s="897"/>
      <c r="Y480" s="897"/>
    </row>
    <row r="481" spans="1:25">
      <c r="A481" s="896"/>
      <c r="B481" s="896"/>
      <c r="C481" s="896"/>
      <c r="D481" s="896"/>
      <c r="E481" s="896"/>
      <c r="R481" s="897"/>
      <c r="S481" s="897"/>
      <c r="T481" s="897"/>
      <c r="U481" s="897"/>
      <c r="V481" s="897"/>
      <c r="W481" s="897"/>
      <c r="X481" s="897"/>
      <c r="Y481" s="897"/>
    </row>
    <row r="482" spans="1:25">
      <c r="A482" s="896"/>
      <c r="B482" s="896"/>
      <c r="C482" s="896"/>
      <c r="D482" s="896"/>
      <c r="E482" s="896"/>
      <c r="R482" s="897"/>
      <c r="S482" s="897"/>
      <c r="T482" s="897"/>
      <c r="U482" s="897"/>
      <c r="V482" s="897"/>
      <c r="W482" s="897"/>
      <c r="X482" s="897"/>
      <c r="Y482" s="897"/>
    </row>
    <row r="483" spans="1:25">
      <c r="A483" s="896"/>
      <c r="B483" s="896"/>
      <c r="C483" s="896"/>
      <c r="D483" s="896"/>
      <c r="E483" s="896"/>
      <c r="R483" s="897"/>
      <c r="S483" s="897"/>
      <c r="T483" s="897"/>
      <c r="U483" s="897"/>
      <c r="V483" s="897"/>
      <c r="W483" s="897"/>
      <c r="X483" s="897"/>
      <c r="Y483" s="897"/>
    </row>
    <row r="484" spans="1:25">
      <c r="A484" s="896"/>
      <c r="B484" s="896"/>
      <c r="C484" s="896"/>
      <c r="D484" s="896"/>
      <c r="E484" s="896"/>
      <c r="R484" s="897"/>
      <c r="S484" s="897"/>
      <c r="T484" s="897"/>
      <c r="U484" s="897"/>
      <c r="V484" s="897"/>
      <c r="W484" s="897"/>
      <c r="X484" s="897"/>
      <c r="Y484" s="897"/>
    </row>
    <row r="485" spans="1:25">
      <c r="A485" s="896"/>
      <c r="B485" s="896"/>
      <c r="C485" s="896"/>
      <c r="D485" s="896"/>
      <c r="E485" s="896"/>
      <c r="R485" s="897"/>
      <c r="S485" s="897"/>
      <c r="T485" s="897"/>
      <c r="U485" s="897"/>
      <c r="V485" s="897"/>
      <c r="W485" s="897"/>
      <c r="X485" s="897"/>
      <c r="Y485" s="897"/>
    </row>
    <row r="486" spans="1:25">
      <c r="A486" s="896"/>
      <c r="B486" s="896"/>
      <c r="C486" s="896"/>
      <c r="D486" s="896"/>
      <c r="E486" s="896"/>
      <c r="R486" s="897"/>
      <c r="S486" s="897"/>
      <c r="T486" s="897"/>
      <c r="U486" s="897"/>
      <c r="V486" s="897"/>
      <c r="W486" s="897"/>
      <c r="X486" s="897"/>
      <c r="Y486" s="897"/>
    </row>
    <row r="487" spans="1:25">
      <c r="A487" s="896"/>
      <c r="B487" s="896"/>
      <c r="C487" s="896"/>
      <c r="D487" s="896"/>
      <c r="E487" s="896"/>
      <c r="R487" s="897"/>
      <c r="S487" s="897"/>
      <c r="T487" s="897"/>
      <c r="U487" s="897"/>
      <c r="V487" s="897"/>
      <c r="W487" s="897"/>
      <c r="X487" s="897"/>
      <c r="Y487" s="897"/>
    </row>
    <row r="488" spans="1:25">
      <c r="A488" s="896"/>
      <c r="B488" s="896"/>
      <c r="C488" s="896"/>
      <c r="D488" s="896"/>
      <c r="E488" s="896"/>
      <c r="R488" s="897"/>
      <c r="S488" s="897"/>
      <c r="T488" s="897"/>
      <c r="U488" s="897"/>
      <c r="V488" s="897"/>
      <c r="W488" s="897"/>
      <c r="X488" s="897"/>
      <c r="Y488" s="897"/>
    </row>
    <row r="489" spans="1:25">
      <c r="A489" s="896"/>
      <c r="B489" s="896"/>
      <c r="C489" s="896"/>
      <c r="D489" s="896"/>
      <c r="E489" s="896"/>
      <c r="R489" s="897"/>
      <c r="S489" s="897"/>
      <c r="T489" s="897"/>
      <c r="U489" s="897"/>
      <c r="V489" s="897"/>
      <c r="W489" s="897"/>
      <c r="X489" s="897"/>
      <c r="Y489" s="897"/>
    </row>
    <row r="490" spans="1:25">
      <c r="A490" s="896"/>
      <c r="B490" s="896"/>
      <c r="C490" s="896"/>
      <c r="D490" s="896"/>
      <c r="E490" s="896"/>
      <c r="R490" s="897"/>
      <c r="S490" s="897"/>
      <c r="T490" s="897"/>
      <c r="U490" s="897"/>
      <c r="V490" s="897"/>
      <c r="W490" s="897"/>
      <c r="X490" s="897"/>
      <c r="Y490" s="897"/>
    </row>
    <row r="491" spans="1:25">
      <c r="A491" s="896"/>
      <c r="B491" s="896"/>
      <c r="C491" s="896"/>
      <c r="D491" s="896"/>
      <c r="E491" s="896"/>
      <c r="R491" s="897"/>
      <c r="S491" s="897"/>
      <c r="T491" s="897"/>
      <c r="U491" s="897"/>
      <c r="V491" s="897"/>
      <c r="W491" s="897"/>
      <c r="X491" s="897"/>
      <c r="Y491" s="897"/>
    </row>
    <row r="492" spans="1:25">
      <c r="A492" s="896"/>
      <c r="B492" s="896"/>
      <c r="C492" s="896"/>
      <c r="D492" s="896"/>
      <c r="E492" s="896"/>
      <c r="R492" s="897"/>
      <c r="S492" s="897"/>
      <c r="T492" s="897"/>
      <c r="U492" s="897"/>
      <c r="V492" s="897"/>
      <c r="W492" s="897"/>
      <c r="X492" s="897"/>
      <c r="Y492" s="897"/>
    </row>
    <row r="493" spans="1:25">
      <c r="A493" s="896"/>
      <c r="B493" s="896"/>
      <c r="C493" s="896"/>
      <c r="D493" s="896"/>
      <c r="E493" s="896"/>
      <c r="R493" s="897"/>
      <c r="S493" s="897"/>
      <c r="T493" s="897"/>
      <c r="U493" s="897"/>
      <c r="V493" s="897"/>
      <c r="W493" s="897"/>
      <c r="X493" s="897"/>
      <c r="Y493" s="897"/>
    </row>
    <row r="494" spans="1:25">
      <c r="A494" s="896"/>
      <c r="B494" s="896"/>
      <c r="C494" s="896"/>
      <c r="D494" s="896"/>
      <c r="E494" s="896"/>
      <c r="R494" s="897"/>
      <c r="S494" s="897"/>
      <c r="T494" s="897"/>
      <c r="U494" s="897"/>
      <c r="V494" s="897"/>
      <c r="W494" s="897"/>
      <c r="X494" s="897"/>
      <c r="Y494" s="897"/>
    </row>
    <row r="495" spans="1:25">
      <c r="A495" s="896"/>
      <c r="B495" s="896"/>
      <c r="C495" s="896"/>
      <c r="D495" s="896"/>
      <c r="E495" s="896"/>
      <c r="R495" s="897"/>
      <c r="S495" s="897"/>
      <c r="T495" s="897"/>
      <c r="U495" s="897"/>
      <c r="V495" s="897"/>
      <c r="W495" s="897"/>
      <c r="X495" s="897"/>
      <c r="Y495" s="897"/>
    </row>
    <row r="496" spans="1:25">
      <c r="A496" s="896"/>
      <c r="B496" s="896"/>
      <c r="C496" s="896"/>
      <c r="D496" s="896"/>
      <c r="E496" s="896"/>
      <c r="R496" s="897"/>
      <c r="S496" s="897"/>
      <c r="T496" s="897"/>
      <c r="U496" s="897"/>
      <c r="V496" s="897"/>
      <c r="W496" s="897"/>
      <c r="X496" s="897"/>
      <c r="Y496" s="897"/>
    </row>
    <row r="497" spans="1:25">
      <c r="A497" s="896"/>
      <c r="B497" s="896"/>
      <c r="C497" s="896"/>
      <c r="D497" s="896"/>
      <c r="E497" s="896"/>
      <c r="R497" s="897"/>
      <c r="S497" s="897"/>
      <c r="T497" s="897"/>
      <c r="U497" s="897"/>
      <c r="V497" s="897"/>
      <c r="W497" s="897"/>
      <c r="X497" s="897"/>
      <c r="Y497" s="897"/>
    </row>
    <row r="498" spans="1:25">
      <c r="A498" s="896"/>
      <c r="B498" s="896"/>
      <c r="C498" s="896"/>
      <c r="D498" s="896"/>
      <c r="E498" s="896"/>
      <c r="R498" s="897"/>
      <c r="S498" s="897"/>
      <c r="T498" s="897"/>
      <c r="U498" s="897"/>
      <c r="V498" s="897"/>
      <c r="W498" s="897"/>
      <c r="X498" s="897"/>
      <c r="Y498" s="897"/>
    </row>
    <row r="499" spans="1:25">
      <c r="A499" s="896"/>
      <c r="B499" s="896"/>
      <c r="C499" s="896"/>
      <c r="D499" s="896"/>
      <c r="E499" s="896"/>
      <c r="R499" s="897"/>
      <c r="S499" s="897"/>
      <c r="T499" s="897"/>
      <c r="U499" s="897"/>
      <c r="V499" s="897"/>
      <c r="W499" s="897"/>
      <c r="X499" s="897"/>
      <c r="Y499" s="897"/>
    </row>
    <row r="500" spans="1:25">
      <c r="A500" s="896"/>
      <c r="B500" s="896"/>
      <c r="C500" s="896"/>
      <c r="D500" s="896"/>
      <c r="E500" s="896"/>
      <c r="R500" s="897"/>
      <c r="S500" s="897"/>
      <c r="T500" s="897"/>
      <c r="U500" s="897"/>
      <c r="V500" s="897"/>
      <c r="W500" s="897"/>
      <c r="X500" s="897"/>
      <c r="Y500" s="897"/>
    </row>
    <row r="501" spans="1:25">
      <c r="A501" s="896"/>
      <c r="B501" s="896"/>
      <c r="C501" s="896"/>
      <c r="D501" s="896"/>
      <c r="E501" s="896"/>
      <c r="R501" s="897"/>
      <c r="S501" s="897"/>
      <c r="T501" s="897"/>
      <c r="U501" s="897"/>
      <c r="V501" s="897"/>
      <c r="W501" s="897"/>
      <c r="X501" s="897"/>
      <c r="Y501" s="897"/>
    </row>
    <row r="502" spans="1:25">
      <c r="A502" s="896"/>
      <c r="B502" s="896"/>
      <c r="C502" s="896"/>
      <c r="D502" s="896"/>
      <c r="E502" s="896"/>
      <c r="R502" s="897"/>
      <c r="S502" s="897"/>
      <c r="T502" s="897"/>
      <c r="U502" s="897"/>
      <c r="V502" s="897"/>
      <c r="W502" s="897"/>
      <c r="X502" s="897"/>
      <c r="Y502" s="897"/>
    </row>
    <row r="503" spans="1:25">
      <c r="A503" s="896"/>
      <c r="B503" s="896"/>
      <c r="C503" s="896"/>
      <c r="D503" s="896"/>
      <c r="E503" s="896"/>
      <c r="R503" s="897"/>
      <c r="S503" s="897"/>
      <c r="T503" s="897"/>
      <c r="U503" s="897"/>
      <c r="V503" s="897"/>
      <c r="W503" s="897"/>
      <c r="X503" s="897"/>
      <c r="Y503" s="897"/>
    </row>
    <row r="504" spans="1:25">
      <c r="A504" s="896"/>
      <c r="B504" s="896"/>
      <c r="C504" s="896"/>
      <c r="D504" s="896"/>
      <c r="E504" s="896"/>
      <c r="R504" s="897"/>
      <c r="S504" s="897"/>
      <c r="T504" s="897"/>
      <c r="U504" s="897"/>
      <c r="V504" s="897"/>
      <c r="W504" s="897"/>
      <c r="X504" s="897"/>
      <c r="Y504" s="897"/>
    </row>
    <row r="505" spans="1:25">
      <c r="A505" s="896"/>
      <c r="B505" s="896"/>
      <c r="C505" s="896"/>
      <c r="D505" s="896"/>
      <c r="E505" s="896"/>
      <c r="R505" s="897"/>
      <c r="S505" s="897"/>
      <c r="T505" s="897"/>
      <c r="U505" s="897"/>
      <c r="V505" s="897"/>
      <c r="W505" s="897"/>
      <c r="X505" s="897"/>
      <c r="Y505" s="897"/>
    </row>
    <row r="506" spans="1:25">
      <c r="A506" s="896"/>
      <c r="B506" s="896"/>
      <c r="C506" s="896"/>
      <c r="D506" s="896"/>
      <c r="E506" s="896"/>
      <c r="R506" s="897"/>
      <c r="S506" s="897"/>
      <c r="T506" s="897"/>
      <c r="U506" s="897"/>
      <c r="V506" s="897"/>
      <c r="W506" s="897"/>
      <c r="X506" s="897"/>
      <c r="Y506" s="897"/>
    </row>
    <row r="507" spans="1:25">
      <c r="A507" s="896"/>
      <c r="B507" s="896"/>
      <c r="C507" s="896"/>
      <c r="D507" s="896"/>
      <c r="E507" s="896"/>
      <c r="R507" s="897"/>
      <c r="S507" s="897"/>
      <c r="T507" s="897"/>
      <c r="U507" s="897"/>
      <c r="V507" s="897"/>
      <c r="W507" s="897"/>
      <c r="X507" s="897"/>
      <c r="Y507" s="897"/>
    </row>
    <row r="508" spans="1:25">
      <c r="A508" s="896"/>
      <c r="B508" s="896"/>
      <c r="C508" s="896"/>
      <c r="D508" s="896"/>
      <c r="E508" s="896"/>
      <c r="R508" s="897"/>
      <c r="S508" s="897"/>
      <c r="T508" s="897"/>
      <c r="U508" s="897"/>
      <c r="V508" s="897"/>
      <c r="W508" s="897"/>
      <c r="X508" s="897"/>
      <c r="Y508" s="897"/>
    </row>
    <row r="509" spans="1:25">
      <c r="A509" s="896"/>
      <c r="B509" s="896"/>
      <c r="C509" s="896"/>
      <c r="D509" s="896"/>
      <c r="E509" s="896"/>
      <c r="R509" s="897"/>
      <c r="S509" s="897"/>
      <c r="T509" s="897"/>
      <c r="U509" s="897"/>
      <c r="V509" s="897"/>
      <c r="W509" s="897"/>
      <c r="X509" s="897"/>
      <c r="Y509" s="897"/>
    </row>
    <row r="510" spans="1:25">
      <c r="A510" s="896"/>
      <c r="B510" s="896"/>
      <c r="C510" s="896"/>
      <c r="D510" s="896"/>
      <c r="E510" s="896"/>
      <c r="R510" s="897"/>
      <c r="S510" s="897"/>
      <c r="T510" s="897"/>
      <c r="U510" s="897"/>
      <c r="V510" s="897"/>
      <c r="W510" s="897"/>
      <c r="X510" s="897"/>
      <c r="Y510" s="897"/>
    </row>
    <row r="511" spans="1:25">
      <c r="A511" s="896"/>
      <c r="B511" s="896"/>
      <c r="C511" s="896"/>
      <c r="D511" s="896"/>
      <c r="E511" s="896"/>
      <c r="R511" s="897"/>
      <c r="S511" s="897"/>
      <c r="T511" s="897"/>
      <c r="U511" s="897"/>
      <c r="V511" s="897"/>
      <c r="W511" s="897"/>
      <c r="X511" s="897"/>
      <c r="Y511" s="897"/>
    </row>
    <row r="512" spans="1:25">
      <c r="A512" s="896"/>
      <c r="B512" s="896"/>
      <c r="C512" s="896"/>
      <c r="D512" s="896"/>
      <c r="E512" s="896"/>
      <c r="R512" s="897"/>
      <c r="S512" s="897"/>
      <c r="T512" s="897"/>
      <c r="U512" s="897"/>
      <c r="V512" s="897"/>
      <c r="W512" s="897"/>
      <c r="X512" s="897"/>
      <c r="Y512" s="897"/>
    </row>
    <row r="513" spans="1:25">
      <c r="A513" s="896"/>
      <c r="B513" s="896"/>
      <c r="C513" s="896"/>
      <c r="D513" s="896"/>
      <c r="E513" s="896"/>
      <c r="R513" s="897"/>
      <c r="S513" s="897"/>
      <c r="T513" s="897"/>
      <c r="U513" s="897"/>
      <c r="V513" s="897"/>
      <c r="W513" s="897"/>
      <c r="X513" s="897"/>
      <c r="Y513" s="897"/>
    </row>
    <row r="514" spans="1:25">
      <c r="A514" s="896"/>
      <c r="B514" s="896"/>
      <c r="C514" s="896"/>
      <c r="D514" s="896"/>
      <c r="E514" s="896"/>
      <c r="R514" s="897"/>
      <c r="S514" s="897"/>
      <c r="T514" s="897"/>
      <c r="U514" s="897"/>
      <c r="V514" s="897"/>
      <c r="W514" s="897"/>
      <c r="X514" s="897"/>
      <c r="Y514" s="897"/>
    </row>
    <row r="515" spans="1:25">
      <c r="A515" s="896"/>
      <c r="B515" s="896"/>
      <c r="C515" s="896"/>
      <c r="D515" s="896"/>
      <c r="E515" s="896"/>
      <c r="R515" s="897"/>
      <c r="S515" s="897"/>
      <c r="T515" s="897"/>
      <c r="U515" s="897"/>
      <c r="V515" s="897"/>
      <c r="W515" s="897"/>
      <c r="X515" s="897"/>
      <c r="Y515" s="897"/>
    </row>
    <row r="516" spans="1:25">
      <c r="A516" s="896"/>
      <c r="B516" s="896"/>
      <c r="C516" s="896"/>
      <c r="D516" s="896"/>
      <c r="E516" s="896"/>
      <c r="R516" s="897"/>
      <c r="S516" s="897"/>
      <c r="T516" s="897"/>
      <c r="U516" s="897"/>
      <c r="V516" s="897"/>
      <c r="W516" s="897"/>
      <c r="X516" s="897"/>
      <c r="Y516" s="897"/>
    </row>
    <row r="517" spans="1:25">
      <c r="A517" s="896"/>
      <c r="B517" s="896"/>
      <c r="C517" s="896"/>
      <c r="D517" s="896"/>
      <c r="E517" s="896"/>
      <c r="R517" s="897"/>
      <c r="S517" s="897"/>
      <c r="T517" s="897"/>
      <c r="U517" s="897"/>
      <c r="V517" s="897"/>
      <c r="W517" s="897"/>
      <c r="X517" s="897"/>
      <c r="Y517" s="897"/>
    </row>
    <row r="518" spans="1:25">
      <c r="A518" s="896"/>
      <c r="B518" s="896"/>
      <c r="C518" s="896"/>
      <c r="D518" s="896"/>
      <c r="E518" s="896"/>
      <c r="R518" s="897"/>
      <c r="S518" s="897"/>
      <c r="T518" s="897"/>
      <c r="U518" s="897"/>
      <c r="V518" s="897"/>
      <c r="W518" s="897"/>
      <c r="X518" s="897"/>
      <c r="Y518" s="897"/>
    </row>
    <row r="519" spans="1:25">
      <c r="A519" s="896"/>
      <c r="B519" s="896"/>
      <c r="C519" s="896"/>
      <c r="D519" s="896"/>
      <c r="E519" s="896"/>
      <c r="R519" s="897"/>
      <c r="S519" s="897"/>
      <c r="T519" s="897"/>
      <c r="U519" s="897"/>
      <c r="V519" s="897"/>
      <c r="W519" s="897"/>
      <c r="X519" s="897"/>
      <c r="Y519" s="897"/>
    </row>
    <row r="520" spans="1:25">
      <c r="A520" s="896"/>
      <c r="B520" s="896"/>
      <c r="C520" s="896"/>
      <c r="D520" s="896"/>
      <c r="E520" s="896"/>
      <c r="R520" s="897"/>
      <c r="S520" s="897"/>
      <c r="T520" s="897"/>
      <c r="U520" s="897"/>
      <c r="V520" s="897"/>
      <c r="W520" s="897"/>
      <c r="X520" s="897"/>
      <c r="Y520" s="897"/>
    </row>
    <row r="521" spans="1:25">
      <c r="A521" s="896"/>
      <c r="B521" s="896"/>
      <c r="C521" s="896"/>
      <c r="D521" s="896"/>
      <c r="E521" s="896"/>
      <c r="R521" s="897"/>
      <c r="S521" s="897"/>
      <c r="T521" s="897"/>
      <c r="U521" s="897"/>
      <c r="V521" s="897"/>
      <c r="W521" s="897"/>
      <c r="X521" s="897"/>
      <c r="Y521" s="897"/>
    </row>
    <row r="522" spans="1:25">
      <c r="A522" s="896"/>
      <c r="B522" s="896"/>
      <c r="C522" s="896"/>
      <c r="D522" s="896"/>
      <c r="E522" s="896"/>
      <c r="R522" s="897"/>
      <c r="S522" s="897"/>
      <c r="T522" s="897"/>
      <c r="U522" s="897"/>
      <c r="V522" s="897"/>
      <c r="W522" s="897"/>
      <c r="X522" s="897"/>
      <c r="Y522" s="897"/>
    </row>
    <row r="523" spans="1:25">
      <c r="A523" s="896"/>
      <c r="B523" s="896"/>
      <c r="C523" s="896"/>
      <c r="D523" s="896"/>
      <c r="E523" s="896"/>
      <c r="R523" s="897"/>
      <c r="S523" s="897"/>
      <c r="T523" s="897"/>
      <c r="U523" s="897"/>
      <c r="V523" s="897"/>
      <c r="W523" s="897"/>
      <c r="X523" s="897"/>
      <c r="Y523" s="897"/>
    </row>
    <row r="524" spans="1:25">
      <c r="A524" s="896"/>
      <c r="B524" s="896"/>
      <c r="C524" s="896"/>
      <c r="D524" s="896"/>
      <c r="E524" s="896"/>
      <c r="R524" s="897"/>
      <c r="S524" s="897"/>
      <c r="T524" s="897"/>
      <c r="U524" s="897"/>
      <c r="V524" s="897"/>
      <c r="W524" s="897"/>
      <c r="X524" s="897"/>
      <c r="Y524" s="897"/>
    </row>
    <row r="525" spans="1:25">
      <c r="A525" s="896"/>
      <c r="B525" s="896"/>
      <c r="C525" s="896"/>
      <c r="D525" s="896"/>
      <c r="E525" s="896"/>
      <c r="R525" s="897"/>
      <c r="S525" s="897"/>
      <c r="T525" s="897"/>
      <c r="U525" s="897"/>
      <c r="V525" s="897"/>
      <c r="W525" s="897"/>
      <c r="X525" s="897"/>
      <c r="Y525" s="897"/>
    </row>
    <row r="526" spans="1:25">
      <c r="A526" s="896"/>
      <c r="B526" s="896"/>
      <c r="C526" s="896"/>
      <c r="D526" s="896"/>
      <c r="E526" s="896"/>
      <c r="R526" s="897"/>
      <c r="S526" s="897"/>
      <c r="T526" s="897"/>
      <c r="U526" s="897"/>
      <c r="V526" s="897"/>
      <c r="W526" s="897"/>
      <c r="X526" s="897"/>
      <c r="Y526" s="897"/>
    </row>
    <row r="527" spans="1:25">
      <c r="A527" s="896"/>
      <c r="B527" s="896"/>
      <c r="C527" s="896"/>
      <c r="D527" s="896"/>
      <c r="E527" s="896"/>
      <c r="R527" s="897"/>
      <c r="S527" s="897"/>
      <c r="T527" s="897"/>
      <c r="U527" s="897"/>
      <c r="V527" s="897"/>
      <c r="W527" s="897"/>
      <c r="X527" s="897"/>
      <c r="Y527" s="897"/>
    </row>
    <row r="528" spans="1:25">
      <c r="A528" s="896"/>
      <c r="B528" s="896"/>
      <c r="C528" s="896"/>
      <c r="D528" s="896"/>
      <c r="E528" s="896"/>
      <c r="R528" s="897"/>
      <c r="S528" s="897"/>
      <c r="T528" s="897"/>
      <c r="U528" s="897"/>
      <c r="V528" s="897"/>
      <c r="W528" s="897"/>
      <c r="X528" s="897"/>
      <c r="Y528" s="897"/>
    </row>
    <row r="529" spans="1:25">
      <c r="A529" s="896"/>
      <c r="B529" s="896"/>
      <c r="C529" s="896"/>
      <c r="D529" s="896"/>
      <c r="E529" s="896"/>
      <c r="R529" s="897"/>
      <c r="S529" s="897"/>
      <c r="T529" s="897"/>
      <c r="U529" s="897"/>
      <c r="V529" s="897"/>
      <c r="W529" s="897"/>
      <c r="X529" s="897"/>
      <c r="Y529" s="897"/>
    </row>
    <row r="530" spans="1:25">
      <c r="A530" s="896"/>
      <c r="B530" s="896"/>
      <c r="C530" s="896"/>
      <c r="D530" s="896"/>
      <c r="E530" s="896"/>
      <c r="R530" s="897"/>
      <c r="S530" s="897"/>
      <c r="T530" s="897"/>
      <c r="U530" s="897"/>
      <c r="V530" s="897"/>
      <c r="W530" s="897"/>
      <c r="X530" s="897"/>
      <c r="Y530" s="897"/>
    </row>
    <row r="531" spans="1:25">
      <c r="A531" s="896"/>
      <c r="B531" s="896"/>
      <c r="C531" s="896"/>
      <c r="D531" s="896"/>
      <c r="E531" s="896"/>
      <c r="R531" s="897"/>
      <c r="S531" s="897"/>
      <c r="T531" s="897"/>
      <c r="U531" s="897"/>
      <c r="V531" s="897"/>
      <c r="W531" s="897"/>
      <c r="X531" s="897"/>
      <c r="Y531" s="897"/>
    </row>
    <row r="532" spans="1:25">
      <c r="A532" s="896"/>
      <c r="B532" s="896"/>
      <c r="C532" s="896"/>
      <c r="D532" s="896"/>
      <c r="E532" s="896"/>
      <c r="R532" s="897"/>
      <c r="S532" s="897"/>
      <c r="T532" s="897"/>
      <c r="U532" s="897"/>
      <c r="V532" s="897"/>
      <c r="W532" s="897"/>
      <c r="X532" s="897"/>
      <c r="Y532" s="897"/>
    </row>
    <row r="533" spans="1:25">
      <c r="A533" s="896"/>
      <c r="B533" s="896"/>
      <c r="C533" s="896"/>
      <c r="D533" s="896"/>
      <c r="E533" s="896"/>
      <c r="R533" s="897"/>
      <c r="S533" s="897"/>
      <c r="T533" s="897"/>
      <c r="U533" s="897"/>
      <c r="V533" s="897"/>
      <c r="W533" s="897"/>
      <c r="X533" s="897"/>
      <c r="Y533" s="897"/>
    </row>
    <row r="534" spans="1:25">
      <c r="A534" s="896"/>
      <c r="B534" s="896"/>
      <c r="C534" s="896"/>
      <c r="D534" s="896"/>
      <c r="E534" s="896"/>
      <c r="R534" s="897"/>
      <c r="S534" s="897"/>
      <c r="T534" s="897"/>
      <c r="U534" s="897"/>
      <c r="V534" s="897"/>
      <c r="W534" s="897"/>
      <c r="X534" s="897"/>
      <c r="Y534" s="897"/>
    </row>
    <row r="535" spans="1:25">
      <c r="A535" s="896"/>
      <c r="B535" s="896"/>
      <c r="C535" s="896"/>
      <c r="D535" s="896"/>
      <c r="E535" s="896"/>
      <c r="R535" s="897"/>
      <c r="S535" s="897"/>
      <c r="T535" s="897"/>
      <c r="U535" s="897"/>
      <c r="V535" s="897"/>
      <c r="W535" s="897"/>
      <c r="X535" s="897"/>
      <c r="Y535" s="897"/>
    </row>
    <row r="536" spans="1:25">
      <c r="A536" s="896"/>
      <c r="B536" s="896"/>
      <c r="C536" s="896"/>
      <c r="D536" s="896"/>
      <c r="E536" s="896"/>
      <c r="R536" s="897"/>
      <c r="S536" s="897"/>
      <c r="T536" s="897"/>
      <c r="U536" s="897"/>
      <c r="V536" s="897"/>
      <c r="W536" s="897"/>
      <c r="X536" s="897"/>
      <c r="Y536" s="897"/>
    </row>
    <row r="537" spans="1:25">
      <c r="A537" s="896"/>
      <c r="B537" s="896"/>
      <c r="C537" s="896"/>
      <c r="D537" s="896"/>
      <c r="E537" s="896"/>
      <c r="R537" s="897"/>
      <c r="S537" s="897"/>
      <c r="T537" s="897"/>
      <c r="U537" s="897"/>
      <c r="V537" s="897"/>
      <c r="W537" s="897"/>
      <c r="X537" s="897"/>
      <c r="Y537" s="897"/>
    </row>
    <row r="538" spans="1:25">
      <c r="A538" s="896"/>
      <c r="B538" s="896"/>
      <c r="C538" s="896"/>
      <c r="D538" s="896"/>
      <c r="E538" s="896"/>
      <c r="R538" s="897"/>
      <c r="S538" s="897"/>
      <c r="T538" s="897"/>
      <c r="U538" s="897"/>
      <c r="V538" s="897"/>
      <c r="W538" s="897"/>
      <c r="X538" s="897"/>
      <c r="Y538" s="897"/>
    </row>
    <row r="539" spans="1:25">
      <c r="A539" s="896"/>
      <c r="B539" s="896"/>
      <c r="C539" s="896"/>
      <c r="D539" s="896"/>
      <c r="E539" s="896"/>
      <c r="R539" s="897"/>
      <c r="S539" s="897"/>
      <c r="T539" s="897"/>
      <c r="U539" s="897"/>
      <c r="V539" s="897"/>
      <c r="W539" s="897"/>
      <c r="X539" s="897"/>
      <c r="Y539" s="897"/>
    </row>
    <row r="540" spans="1:25">
      <c r="A540" s="896"/>
      <c r="B540" s="896"/>
      <c r="C540" s="896"/>
      <c r="D540" s="896"/>
      <c r="E540" s="896"/>
      <c r="R540" s="897"/>
      <c r="S540" s="897"/>
      <c r="T540" s="897"/>
      <c r="U540" s="897"/>
      <c r="V540" s="897"/>
      <c r="W540" s="897"/>
      <c r="X540" s="897"/>
      <c r="Y540" s="897"/>
    </row>
    <row r="541" spans="1:25">
      <c r="A541" s="896"/>
      <c r="B541" s="896"/>
      <c r="C541" s="896"/>
      <c r="D541" s="896"/>
      <c r="E541" s="896"/>
      <c r="R541" s="897"/>
      <c r="S541" s="897"/>
      <c r="T541" s="897"/>
      <c r="U541" s="897"/>
      <c r="V541" s="897"/>
      <c r="W541" s="897"/>
      <c r="X541" s="897"/>
      <c r="Y541" s="897"/>
    </row>
    <row r="542" spans="1:25">
      <c r="A542" s="896"/>
      <c r="B542" s="896"/>
      <c r="C542" s="896"/>
      <c r="D542" s="896"/>
      <c r="E542" s="896"/>
      <c r="R542" s="897"/>
      <c r="S542" s="897"/>
      <c r="T542" s="897"/>
      <c r="U542" s="897"/>
      <c r="V542" s="897"/>
      <c r="W542" s="897"/>
      <c r="X542" s="897"/>
      <c r="Y542" s="897"/>
    </row>
    <row r="543" spans="1:25">
      <c r="A543" s="896"/>
      <c r="B543" s="896"/>
      <c r="C543" s="896"/>
      <c r="D543" s="896"/>
      <c r="E543" s="896"/>
      <c r="R543" s="897"/>
      <c r="S543" s="897"/>
      <c r="T543" s="897"/>
      <c r="U543" s="897"/>
      <c r="V543" s="897"/>
      <c r="W543" s="897"/>
      <c r="X543" s="897"/>
      <c r="Y543" s="897"/>
    </row>
    <row r="544" spans="1:25">
      <c r="A544" s="896"/>
      <c r="B544" s="896"/>
      <c r="C544" s="896"/>
      <c r="D544" s="896"/>
      <c r="E544" s="896"/>
      <c r="R544" s="897"/>
      <c r="S544" s="897"/>
      <c r="T544" s="897"/>
      <c r="U544" s="897"/>
      <c r="V544" s="897"/>
      <c r="W544" s="897"/>
      <c r="X544" s="897"/>
      <c r="Y544" s="897"/>
    </row>
    <row r="545" spans="1:25">
      <c r="A545" s="896"/>
      <c r="B545" s="896"/>
      <c r="C545" s="896"/>
      <c r="D545" s="896"/>
      <c r="E545" s="896"/>
      <c r="R545" s="897"/>
      <c r="S545" s="897"/>
      <c r="T545" s="897"/>
      <c r="U545" s="897"/>
      <c r="V545" s="897"/>
      <c r="W545" s="897"/>
      <c r="X545" s="897"/>
      <c r="Y545" s="897"/>
    </row>
    <row r="546" spans="1:25">
      <c r="A546" s="896"/>
      <c r="B546" s="896"/>
      <c r="C546" s="896"/>
      <c r="D546" s="896"/>
      <c r="E546" s="896"/>
      <c r="R546" s="897"/>
      <c r="S546" s="897"/>
      <c r="T546" s="897"/>
      <c r="U546" s="897"/>
      <c r="V546" s="897"/>
      <c r="W546" s="897"/>
      <c r="X546" s="897"/>
      <c r="Y546" s="897"/>
    </row>
    <row r="547" spans="1:25">
      <c r="A547" s="896"/>
      <c r="B547" s="896"/>
      <c r="C547" s="896"/>
      <c r="D547" s="896"/>
      <c r="E547" s="896"/>
      <c r="R547" s="897"/>
      <c r="S547" s="897"/>
      <c r="T547" s="897"/>
      <c r="U547" s="897"/>
      <c r="V547" s="897"/>
      <c r="W547" s="897"/>
      <c r="X547" s="897"/>
      <c r="Y547" s="897"/>
    </row>
    <row r="548" spans="1:25">
      <c r="A548" s="896"/>
      <c r="B548" s="896"/>
      <c r="C548" s="896"/>
      <c r="D548" s="896"/>
      <c r="E548" s="896"/>
      <c r="R548" s="897"/>
      <c r="S548" s="897"/>
      <c r="T548" s="897"/>
      <c r="U548" s="897"/>
      <c r="V548" s="897"/>
      <c r="W548" s="897"/>
      <c r="X548" s="897"/>
      <c r="Y548" s="897"/>
    </row>
    <row r="549" spans="1:25">
      <c r="A549" s="896"/>
      <c r="B549" s="896"/>
      <c r="C549" s="896"/>
      <c r="D549" s="896"/>
      <c r="E549" s="896"/>
      <c r="R549" s="897"/>
      <c r="S549" s="897"/>
      <c r="T549" s="897"/>
      <c r="U549" s="897"/>
      <c r="V549" s="897"/>
      <c r="W549" s="897"/>
      <c r="X549" s="897"/>
      <c r="Y549" s="897"/>
    </row>
    <row r="550" spans="1:25">
      <c r="A550" s="896"/>
      <c r="B550" s="896"/>
      <c r="C550" s="896"/>
      <c r="D550" s="896"/>
      <c r="E550" s="896"/>
      <c r="R550" s="897"/>
      <c r="S550" s="897"/>
      <c r="T550" s="897"/>
      <c r="U550" s="897"/>
      <c r="V550" s="897"/>
      <c r="W550" s="897"/>
      <c r="X550" s="897"/>
      <c r="Y550" s="897"/>
    </row>
    <row r="551" spans="1:25">
      <c r="A551" s="896"/>
      <c r="B551" s="896"/>
      <c r="C551" s="896"/>
      <c r="D551" s="896"/>
      <c r="E551" s="896"/>
      <c r="R551" s="897"/>
      <c r="S551" s="897"/>
      <c r="T551" s="897"/>
      <c r="U551" s="897"/>
      <c r="V551" s="897"/>
      <c r="W551" s="897"/>
      <c r="X551" s="897"/>
      <c r="Y551" s="897"/>
    </row>
    <row r="552" spans="1:25">
      <c r="A552" s="896"/>
      <c r="B552" s="896"/>
      <c r="C552" s="896"/>
      <c r="D552" s="896"/>
      <c r="E552" s="896"/>
      <c r="R552" s="897"/>
      <c r="S552" s="897"/>
      <c r="T552" s="897"/>
      <c r="U552" s="897"/>
      <c r="V552" s="897"/>
      <c r="W552" s="897"/>
      <c r="X552" s="897"/>
      <c r="Y552" s="897"/>
    </row>
    <row r="553" spans="1:25">
      <c r="A553" s="896"/>
      <c r="B553" s="896"/>
      <c r="C553" s="896"/>
      <c r="D553" s="896"/>
      <c r="E553" s="896"/>
      <c r="R553" s="897"/>
      <c r="S553" s="897"/>
      <c r="T553" s="897"/>
      <c r="U553" s="897"/>
      <c r="V553" s="897"/>
      <c r="W553" s="897"/>
      <c r="X553" s="897"/>
      <c r="Y553" s="897"/>
    </row>
    <row r="554" spans="1:25">
      <c r="A554" s="896"/>
      <c r="B554" s="896"/>
      <c r="C554" s="896"/>
      <c r="D554" s="896"/>
      <c r="E554" s="896"/>
      <c r="R554" s="897"/>
      <c r="S554" s="897"/>
      <c r="T554" s="897"/>
      <c r="U554" s="897"/>
      <c r="V554" s="897"/>
      <c r="W554" s="897"/>
      <c r="X554" s="897"/>
      <c r="Y554" s="897"/>
    </row>
    <row r="555" spans="1:25">
      <c r="A555" s="896"/>
      <c r="B555" s="896"/>
      <c r="C555" s="896"/>
      <c r="D555" s="896"/>
      <c r="E555" s="896"/>
      <c r="R555" s="897"/>
      <c r="S555" s="897"/>
      <c r="T555" s="897"/>
      <c r="U555" s="897"/>
      <c r="V555" s="897"/>
      <c r="W555" s="897"/>
      <c r="X555" s="897"/>
      <c r="Y555" s="897"/>
    </row>
    <row r="556" spans="1:25">
      <c r="A556" s="896"/>
      <c r="B556" s="896"/>
      <c r="C556" s="896"/>
      <c r="D556" s="896"/>
      <c r="E556" s="896"/>
      <c r="R556" s="897"/>
      <c r="S556" s="897"/>
      <c r="T556" s="897"/>
      <c r="U556" s="897"/>
      <c r="V556" s="897"/>
      <c r="W556" s="897"/>
      <c r="X556" s="897"/>
      <c r="Y556" s="897"/>
    </row>
    <row r="557" spans="1:25">
      <c r="A557" s="896"/>
      <c r="B557" s="896"/>
      <c r="C557" s="896"/>
      <c r="D557" s="896"/>
      <c r="E557" s="896"/>
      <c r="R557" s="897"/>
      <c r="S557" s="897"/>
      <c r="T557" s="897"/>
      <c r="U557" s="897"/>
      <c r="V557" s="897"/>
      <c r="W557" s="897"/>
      <c r="X557" s="897"/>
      <c r="Y557" s="897"/>
    </row>
    <row r="558" spans="1:25">
      <c r="A558" s="896"/>
      <c r="B558" s="896"/>
      <c r="C558" s="896"/>
      <c r="D558" s="896"/>
      <c r="E558" s="896"/>
      <c r="R558" s="897"/>
      <c r="S558" s="897"/>
      <c r="T558" s="897"/>
      <c r="U558" s="897"/>
      <c r="V558" s="897"/>
      <c r="W558" s="897"/>
      <c r="X558" s="897"/>
      <c r="Y558" s="897"/>
    </row>
    <row r="559" spans="1:25">
      <c r="A559" s="896"/>
      <c r="B559" s="896"/>
      <c r="C559" s="896"/>
      <c r="D559" s="896"/>
      <c r="E559" s="896"/>
      <c r="R559" s="897"/>
      <c r="S559" s="897"/>
      <c r="T559" s="897"/>
      <c r="U559" s="897"/>
      <c r="V559" s="897"/>
      <c r="W559" s="897"/>
      <c r="X559" s="897"/>
      <c r="Y559" s="897"/>
    </row>
    <row r="560" spans="1:25">
      <c r="A560" s="896"/>
      <c r="B560" s="896"/>
      <c r="C560" s="896"/>
      <c r="D560" s="896"/>
      <c r="E560" s="896"/>
      <c r="R560" s="897"/>
      <c r="S560" s="897"/>
      <c r="T560" s="897"/>
      <c r="U560" s="897"/>
      <c r="V560" s="897"/>
      <c r="W560" s="897"/>
      <c r="X560" s="897"/>
      <c r="Y560" s="897"/>
    </row>
    <row r="561" spans="1:25">
      <c r="A561" s="896"/>
      <c r="B561" s="896"/>
      <c r="C561" s="896"/>
      <c r="D561" s="896"/>
      <c r="E561" s="896"/>
      <c r="R561" s="897"/>
      <c r="S561" s="897"/>
      <c r="T561" s="897"/>
      <c r="U561" s="897"/>
      <c r="V561" s="897"/>
      <c r="W561" s="897"/>
      <c r="X561" s="897"/>
      <c r="Y561" s="897"/>
    </row>
    <row r="562" spans="1:25">
      <c r="A562" s="896"/>
      <c r="B562" s="896"/>
      <c r="C562" s="896"/>
      <c r="D562" s="896"/>
      <c r="E562" s="896"/>
      <c r="R562" s="897"/>
      <c r="S562" s="897"/>
      <c r="T562" s="897"/>
      <c r="U562" s="897"/>
      <c r="V562" s="897"/>
      <c r="W562" s="897"/>
      <c r="X562" s="897"/>
      <c r="Y562" s="897"/>
    </row>
    <row r="563" spans="1:25">
      <c r="A563" s="896"/>
      <c r="B563" s="896"/>
      <c r="C563" s="896"/>
      <c r="D563" s="896"/>
      <c r="E563" s="896"/>
      <c r="R563" s="897"/>
      <c r="S563" s="897"/>
      <c r="T563" s="897"/>
      <c r="U563" s="897"/>
      <c r="V563" s="897"/>
      <c r="W563" s="897"/>
      <c r="X563" s="897"/>
      <c r="Y563" s="897"/>
    </row>
    <row r="564" spans="1:25">
      <c r="A564" s="896"/>
      <c r="B564" s="896"/>
      <c r="C564" s="896"/>
      <c r="D564" s="896"/>
      <c r="E564" s="896"/>
      <c r="R564" s="897"/>
      <c r="S564" s="897"/>
      <c r="T564" s="897"/>
      <c r="U564" s="897"/>
      <c r="V564" s="897"/>
      <c r="W564" s="897"/>
      <c r="X564" s="897"/>
      <c r="Y564" s="897"/>
    </row>
    <row r="565" spans="1:25">
      <c r="A565" s="896"/>
      <c r="B565" s="896"/>
      <c r="C565" s="896"/>
      <c r="D565" s="896"/>
      <c r="E565" s="896"/>
      <c r="R565" s="897"/>
      <c r="S565" s="897"/>
      <c r="T565" s="897"/>
      <c r="U565" s="897"/>
      <c r="V565" s="897"/>
      <c r="W565" s="897"/>
      <c r="X565" s="897"/>
      <c r="Y565" s="897"/>
    </row>
    <row r="566" spans="1:25">
      <c r="A566" s="896"/>
      <c r="B566" s="896"/>
      <c r="C566" s="896"/>
      <c r="D566" s="896"/>
      <c r="E566" s="896"/>
      <c r="R566" s="897"/>
      <c r="S566" s="897"/>
      <c r="T566" s="897"/>
      <c r="U566" s="897"/>
      <c r="V566" s="897"/>
      <c r="W566" s="897"/>
      <c r="X566" s="897"/>
      <c r="Y566" s="897"/>
    </row>
    <row r="567" spans="1:25">
      <c r="A567" s="896"/>
      <c r="B567" s="896"/>
      <c r="C567" s="896"/>
      <c r="D567" s="896"/>
      <c r="E567" s="896"/>
      <c r="R567" s="897"/>
      <c r="S567" s="897"/>
      <c r="T567" s="897"/>
      <c r="U567" s="897"/>
      <c r="V567" s="897"/>
      <c r="W567" s="897"/>
      <c r="X567" s="897"/>
      <c r="Y567" s="897"/>
    </row>
    <row r="568" spans="1:25">
      <c r="A568" s="896"/>
      <c r="B568" s="896"/>
      <c r="C568" s="896"/>
      <c r="D568" s="896"/>
      <c r="E568" s="896"/>
      <c r="R568" s="897"/>
      <c r="S568" s="897"/>
      <c r="T568" s="897"/>
      <c r="U568" s="897"/>
      <c r="V568" s="897"/>
      <c r="W568" s="897"/>
      <c r="X568" s="897"/>
      <c r="Y568" s="897"/>
    </row>
    <row r="569" spans="1:25">
      <c r="A569" s="896"/>
      <c r="B569" s="896"/>
      <c r="C569" s="896"/>
      <c r="D569" s="896"/>
      <c r="E569" s="896"/>
      <c r="R569" s="897"/>
      <c r="S569" s="897"/>
      <c r="T569" s="897"/>
      <c r="U569" s="897"/>
      <c r="V569" s="897"/>
      <c r="W569" s="897"/>
      <c r="X569" s="897"/>
      <c r="Y569" s="897"/>
    </row>
    <row r="570" spans="1:25">
      <c r="A570" s="896"/>
      <c r="B570" s="896"/>
      <c r="C570" s="896"/>
      <c r="D570" s="896"/>
      <c r="E570" s="896"/>
      <c r="R570" s="897"/>
      <c r="S570" s="897"/>
      <c r="T570" s="897"/>
      <c r="U570" s="897"/>
      <c r="V570" s="897"/>
      <c r="W570" s="897"/>
      <c r="X570" s="897"/>
      <c r="Y570" s="897"/>
    </row>
    <row r="571" spans="1:25">
      <c r="A571" s="896"/>
      <c r="B571" s="896"/>
      <c r="C571" s="896"/>
      <c r="D571" s="896"/>
      <c r="E571" s="896"/>
      <c r="R571" s="897"/>
      <c r="S571" s="897"/>
      <c r="T571" s="897"/>
      <c r="U571" s="897"/>
      <c r="V571" s="897"/>
      <c r="W571" s="897"/>
      <c r="X571" s="897"/>
      <c r="Y571" s="897"/>
    </row>
    <row r="572" spans="1:25">
      <c r="A572" s="896"/>
      <c r="B572" s="896"/>
      <c r="C572" s="896"/>
      <c r="D572" s="896"/>
      <c r="E572" s="896"/>
      <c r="R572" s="897"/>
      <c r="S572" s="897"/>
      <c r="T572" s="897"/>
      <c r="U572" s="897"/>
      <c r="V572" s="897"/>
      <c r="W572" s="897"/>
      <c r="X572" s="897"/>
      <c r="Y572" s="897"/>
    </row>
    <row r="573" spans="1:25">
      <c r="A573" s="896"/>
      <c r="B573" s="896"/>
      <c r="C573" s="896"/>
      <c r="D573" s="896"/>
      <c r="E573" s="896"/>
      <c r="R573" s="897"/>
      <c r="S573" s="897"/>
      <c r="T573" s="897"/>
      <c r="U573" s="897"/>
      <c r="V573" s="897"/>
      <c r="W573" s="897"/>
      <c r="X573" s="897"/>
      <c r="Y573" s="897"/>
    </row>
    <row r="574" spans="1:25">
      <c r="A574" s="896"/>
      <c r="B574" s="896"/>
      <c r="C574" s="896"/>
      <c r="D574" s="896"/>
      <c r="E574" s="896"/>
      <c r="R574" s="897"/>
      <c r="S574" s="897"/>
      <c r="T574" s="897"/>
      <c r="U574" s="897"/>
      <c r="V574" s="897"/>
      <c r="W574" s="897"/>
      <c r="X574" s="897"/>
      <c r="Y574" s="897"/>
    </row>
    <row r="575" spans="1:25">
      <c r="A575" s="896"/>
      <c r="B575" s="896"/>
      <c r="C575" s="896"/>
      <c r="D575" s="896"/>
      <c r="E575" s="896"/>
      <c r="R575" s="897"/>
      <c r="S575" s="897"/>
      <c r="T575" s="897"/>
      <c r="U575" s="897"/>
      <c r="V575" s="897"/>
      <c r="W575" s="897"/>
      <c r="X575" s="897"/>
      <c r="Y575" s="897"/>
    </row>
    <row r="576" spans="1:25">
      <c r="A576" s="896"/>
      <c r="B576" s="896"/>
      <c r="C576" s="896"/>
      <c r="D576" s="896"/>
      <c r="E576" s="896"/>
      <c r="R576" s="897"/>
      <c r="S576" s="897"/>
      <c r="T576" s="897"/>
      <c r="U576" s="897"/>
      <c r="V576" s="897"/>
      <c r="W576" s="897"/>
      <c r="X576" s="897"/>
      <c r="Y576" s="897"/>
    </row>
    <row r="577" spans="1:25">
      <c r="A577" s="896"/>
      <c r="B577" s="896"/>
      <c r="C577" s="896"/>
      <c r="D577" s="896"/>
      <c r="E577" s="896"/>
      <c r="R577" s="897"/>
      <c r="S577" s="897"/>
      <c r="T577" s="897"/>
      <c r="U577" s="897"/>
      <c r="V577" s="897"/>
      <c r="W577" s="897"/>
      <c r="X577" s="897"/>
      <c r="Y577" s="897"/>
    </row>
    <row r="578" spans="1:25">
      <c r="A578" s="896"/>
      <c r="B578" s="896"/>
      <c r="C578" s="896"/>
      <c r="D578" s="896"/>
      <c r="E578" s="896"/>
      <c r="R578" s="897"/>
      <c r="S578" s="897"/>
      <c r="T578" s="897"/>
      <c r="U578" s="897"/>
      <c r="V578" s="897"/>
      <c r="W578" s="897"/>
      <c r="X578" s="897"/>
      <c r="Y578" s="897"/>
    </row>
    <row r="579" spans="1:25">
      <c r="A579" s="896"/>
      <c r="B579" s="896"/>
      <c r="C579" s="896"/>
      <c r="D579" s="896"/>
      <c r="E579" s="896"/>
      <c r="R579" s="897"/>
      <c r="S579" s="897"/>
      <c r="T579" s="897"/>
      <c r="U579" s="897"/>
      <c r="V579" s="897"/>
      <c r="W579" s="897"/>
      <c r="X579" s="897"/>
      <c r="Y579" s="897"/>
    </row>
    <row r="580" spans="1:25">
      <c r="A580" s="896"/>
      <c r="B580" s="896"/>
      <c r="C580" s="896"/>
      <c r="D580" s="896"/>
      <c r="E580" s="896"/>
      <c r="R580" s="897"/>
      <c r="S580" s="897"/>
      <c r="T580" s="897"/>
      <c r="U580" s="897"/>
      <c r="V580" s="897"/>
      <c r="W580" s="897"/>
      <c r="X580" s="897"/>
      <c r="Y580" s="897"/>
    </row>
    <row r="581" spans="1:25">
      <c r="A581" s="896"/>
      <c r="B581" s="896"/>
      <c r="C581" s="896"/>
      <c r="D581" s="896"/>
      <c r="E581" s="896"/>
      <c r="R581" s="897"/>
      <c r="S581" s="897"/>
      <c r="T581" s="897"/>
      <c r="U581" s="897"/>
      <c r="V581" s="897"/>
      <c r="W581" s="897"/>
      <c r="X581" s="897"/>
      <c r="Y581" s="897"/>
    </row>
    <row r="582" spans="1:25">
      <c r="A582" s="896"/>
      <c r="B582" s="896"/>
      <c r="C582" s="896"/>
      <c r="D582" s="896"/>
      <c r="E582" s="896"/>
      <c r="R582" s="897"/>
      <c r="S582" s="897"/>
      <c r="T582" s="897"/>
      <c r="U582" s="897"/>
      <c r="V582" s="897"/>
      <c r="W582" s="897"/>
      <c r="X582" s="897"/>
      <c r="Y582" s="897"/>
    </row>
    <row r="583" spans="1:25">
      <c r="A583" s="896"/>
      <c r="B583" s="896"/>
      <c r="C583" s="896"/>
      <c r="D583" s="896"/>
      <c r="E583" s="896"/>
      <c r="R583" s="897"/>
      <c r="S583" s="897"/>
      <c r="T583" s="897"/>
      <c r="U583" s="897"/>
      <c r="V583" s="897"/>
      <c r="W583" s="897"/>
      <c r="X583" s="897"/>
      <c r="Y583" s="897"/>
    </row>
    <row r="584" spans="1:25">
      <c r="A584" s="896"/>
      <c r="B584" s="896"/>
      <c r="C584" s="896"/>
      <c r="D584" s="896"/>
      <c r="E584" s="896"/>
      <c r="R584" s="897"/>
      <c r="S584" s="897"/>
      <c r="T584" s="897"/>
      <c r="U584" s="897"/>
      <c r="V584" s="897"/>
      <c r="W584" s="897"/>
      <c r="X584" s="897"/>
      <c r="Y584" s="897"/>
    </row>
    <row r="585" spans="1:25">
      <c r="A585" s="896"/>
      <c r="B585" s="896"/>
      <c r="C585" s="896"/>
      <c r="D585" s="896"/>
      <c r="E585" s="896"/>
      <c r="R585" s="897"/>
      <c r="S585" s="897"/>
      <c r="T585" s="897"/>
      <c r="U585" s="897"/>
      <c r="V585" s="897"/>
      <c r="W585" s="897"/>
      <c r="X585" s="897"/>
      <c r="Y585" s="897"/>
    </row>
    <row r="586" spans="1:25">
      <c r="A586" s="896"/>
      <c r="B586" s="896"/>
      <c r="C586" s="896"/>
      <c r="D586" s="896"/>
      <c r="E586" s="896"/>
      <c r="R586" s="897"/>
      <c r="S586" s="897"/>
      <c r="T586" s="897"/>
      <c r="U586" s="897"/>
      <c r="V586" s="897"/>
      <c r="W586" s="897"/>
      <c r="X586" s="897"/>
      <c r="Y586" s="897"/>
    </row>
    <row r="587" spans="1:25">
      <c r="A587" s="896"/>
      <c r="B587" s="896"/>
      <c r="C587" s="896"/>
      <c r="D587" s="896"/>
      <c r="E587" s="896"/>
      <c r="R587" s="897"/>
      <c r="S587" s="897"/>
      <c r="T587" s="897"/>
      <c r="U587" s="897"/>
      <c r="V587" s="897"/>
      <c r="W587" s="897"/>
      <c r="X587" s="897"/>
      <c r="Y587" s="897"/>
    </row>
    <row r="588" spans="1:25">
      <c r="A588" s="896"/>
      <c r="B588" s="896"/>
      <c r="C588" s="896"/>
      <c r="D588" s="896"/>
      <c r="E588" s="896"/>
      <c r="R588" s="897"/>
      <c r="S588" s="897"/>
      <c r="T588" s="897"/>
      <c r="U588" s="897"/>
      <c r="V588" s="897"/>
      <c r="W588" s="897"/>
      <c r="X588" s="897"/>
      <c r="Y588" s="897"/>
    </row>
    <row r="589" spans="1:25">
      <c r="A589" s="896"/>
      <c r="B589" s="896"/>
      <c r="C589" s="896"/>
      <c r="D589" s="896"/>
      <c r="E589" s="896"/>
      <c r="R589" s="897"/>
      <c r="S589" s="897"/>
      <c r="T589" s="897"/>
      <c r="U589" s="897"/>
      <c r="V589" s="897"/>
      <c r="W589" s="897"/>
      <c r="X589" s="897"/>
      <c r="Y589" s="897"/>
    </row>
    <row r="590" spans="1:25">
      <c r="A590" s="896"/>
      <c r="B590" s="896"/>
      <c r="C590" s="896"/>
      <c r="D590" s="896"/>
      <c r="E590" s="896"/>
      <c r="R590" s="897"/>
      <c r="S590" s="897"/>
      <c r="T590" s="897"/>
      <c r="U590" s="897"/>
      <c r="V590" s="897"/>
      <c r="W590" s="897"/>
      <c r="X590" s="897"/>
      <c r="Y590" s="897"/>
    </row>
    <row r="591" spans="1:25">
      <c r="A591" s="896"/>
      <c r="B591" s="896"/>
      <c r="C591" s="896"/>
      <c r="D591" s="896"/>
      <c r="E591" s="896"/>
      <c r="R591" s="897"/>
      <c r="S591" s="897"/>
      <c r="T591" s="897"/>
      <c r="U591" s="897"/>
      <c r="V591" s="897"/>
      <c r="W591" s="897"/>
      <c r="X591" s="897"/>
      <c r="Y591" s="897"/>
    </row>
    <row r="592" spans="1:25">
      <c r="A592" s="896"/>
      <c r="B592" s="896"/>
      <c r="C592" s="896"/>
      <c r="D592" s="896"/>
      <c r="E592" s="896"/>
      <c r="R592" s="897"/>
      <c r="S592" s="897"/>
      <c r="T592" s="897"/>
      <c r="U592" s="897"/>
      <c r="V592" s="897"/>
      <c r="W592" s="897"/>
      <c r="X592" s="897"/>
      <c r="Y592" s="897"/>
    </row>
    <row r="593" spans="1:25">
      <c r="A593" s="896"/>
      <c r="B593" s="896"/>
      <c r="C593" s="896"/>
      <c r="D593" s="896"/>
      <c r="E593" s="896"/>
      <c r="R593" s="897"/>
      <c r="S593" s="897"/>
      <c r="T593" s="897"/>
      <c r="U593" s="897"/>
      <c r="V593" s="897"/>
      <c r="W593" s="897"/>
      <c r="X593" s="897"/>
      <c r="Y593" s="897"/>
    </row>
    <row r="594" spans="1:25">
      <c r="A594" s="896"/>
      <c r="B594" s="896"/>
      <c r="C594" s="896"/>
      <c r="D594" s="896"/>
      <c r="E594" s="896"/>
      <c r="R594" s="897"/>
      <c r="S594" s="897"/>
      <c r="T594" s="897"/>
      <c r="U594" s="897"/>
      <c r="V594" s="897"/>
      <c r="W594" s="897"/>
      <c r="X594" s="897"/>
      <c r="Y594" s="897"/>
    </row>
    <row r="595" spans="1:25">
      <c r="A595" s="896"/>
      <c r="B595" s="896"/>
      <c r="C595" s="896"/>
      <c r="D595" s="896"/>
      <c r="E595" s="896"/>
      <c r="R595" s="897"/>
      <c r="S595" s="897"/>
      <c r="T595" s="897"/>
      <c r="U595" s="897"/>
      <c r="V595" s="897"/>
      <c r="W595" s="897"/>
      <c r="X595" s="897"/>
      <c r="Y595" s="897"/>
    </row>
    <row r="596" spans="1:25">
      <c r="A596" s="896"/>
      <c r="B596" s="896"/>
      <c r="C596" s="896"/>
      <c r="D596" s="896"/>
      <c r="E596" s="896"/>
      <c r="R596" s="897"/>
      <c r="S596" s="897"/>
      <c r="T596" s="897"/>
      <c r="U596" s="897"/>
      <c r="V596" s="897"/>
      <c r="W596" s="897"/>
      <c r="X596" s="897"/>
      <c r="Y596" s="897"/>
    </row>
    <row r="597" spans="1:25">
      <c r="A597" s="896"/>
      <c r="B597" s="896"/>
      <c r="C597" s="896"/>
      <c r="D597" s="896"/>
      <c r="E597" s="896"/>
      <c r="R597" s="897"/>
      <c r="S597" s="897"/>
      <c r="T597" s="897"/>
      <c r="U597" s="897"/>
      <c r="V597" s="897"/>
      <c r="W597" s="897"/>
      <c r="X597" s="897"/>
      <c r="Y597" s="897"/>
    </row>
    <row r="598" spans="1:25">
      <c r="A598" s="896"/>
      <c r="B598" s="896"/>
      <c r="C598" s="896"/>
      <c r="D598" s="896"/>
      <c r="E598" s="896"/>
      <c r="R598" s="897"/>
      <c r="S598" s="897"/>
      <c r="T598" s="897"/>
      <c r="U598" s="897"/>
      <c r="V598" s="897"/>
      <c r="W598" s="897"/>
      <c r="X598" s="897"/>
      <c r="Y598" s="897"/>
    </row>
    <row r="599" spans="1:25">
      <c r="A599" s="896"/>
      <c r="B599" s="896"/>
      <c r="C599" s="896"/>
      <c r="D599" s="896"/>
      <c r="E599" s="896"/>
      <c r="R599" s="897"/>
      <c r="S599" s="897"/>
      <c r="T599" s="897"/>
      <c r="U599" s="897"/>
      <c r="V599" s="897"/>
      <c r="W599" s="897"/>
      <c r="X599" s="897"/>
      <c r="Y599" s="897"/>
    </row>
    <row r="600" spans="1:25">
      <c r="A600" s="896"/>
      <c r="B600" s="896"/>
      <c r="C600" s="896"/>
      <c r="D600" s="896"/>
      <c r="E600" s="896"/>
      <c r="R600" s="897"/>
      <c r="S600" s="897"/>
      <c r="T600" s="897"/>
      <c r="U600" s="897"/>
      <c r="V600" s="897"/>
      <c r="W600" s="897"/>
      <c r="X600" s="897"/>
      <c r="Y600" s="897"/>
    </row>
    <row r="601" spans="1:25">
      <c r="A601" s="896"/>
      <c r="B601" s="896"/>
      <c r="C601" s="896"/>
      <c r="D601" s="896"/>
      <c r="E601" s="896"/>
      <c r="R601" s="897"/>
      <c r="S601" s="897"/>
      <c r="T601" s="897"/>
      <c r="U601" s="897"/>
      <c r="V601" s="897"/>
      <c r="W601" s="897"/>
      <c r="X601" s="897"/>
      <c r="Y601" s="897"/>
    </row>
    <row r="602" spans="1:25">
      <c r="A602" s="896"/>
      <c r="B602" s="896"/>
      <c r="C602" s="896"/>
      <c r="D602" s="896"/>
      <c r="E602" s="896"/>
      <c r="R602" s="897"/>
      <c r="S602" s="897"/>
      <c r="T602" s="897"/>
      <c r="U602" s="897"/>
      <c r="V602" s="897"/>
      <c r="W602" s="897"/>
      <c r="X602" s="897"/>
      <c r="Y602" s="897"/>
    </row>
    <row r="603" spans="1:25">
      <c r="A603" s="896"/>
      <c r="B603" s="896"/>
      <c r="C603" s="896"/>
      <c r="D603" s="896"/>
      <c r="E603" s="896"/>
      <c r="R603" s="897"/>
      <c r="S603" s="897"/>
      <c r="T603" s="897"/>
      <c r="U603" s="897"/>
      <c r="V603" s="897"/>
      <c r="W603" s="897"/>
      <c r="X603" s="897"/>
      <c r="Y603" s="897"/>
    </row>
    <row r="604" spans="1:25">
      <c r="A604" s="896"/>
      <c r="B604" s="896"/>
      <c r="C604" s="896"/>
      <c r="D604" s="896"/>
      <c r="E604" s="896"/>
      <c r="R604" s="897"/>
      <c r="S604" s="897"/>
      <c r="T604" s="897"/>
      <c r="U604" s="897"/>
      <c r="V604" s="897"/>
      <c r="W604" s="897"/>
      <c r="X604" s="897"/>
      <c r="Y604" s="897"/>
    </row>
    <row r="605" spans="1:25">
      <c r="A605" s="896"/>
      <c r="B605" s="896"/>
      <c r="C605" s="896"/>
      <c r="D605" s="896"/>
      <c r="E605" s="896"/>
      <c r="R605" s="897"/>
      <c r="S605" s="897"/>
      <c r="T605" s="897"/>
      <c r="U605" s="897"/>
      <c r="V605" s="897"/>
      <c r="W605" s="897"/>
      <c r="X605" s="897"/>
      <c r="Y605" s="897"/>
    </row>
    <row r="606" spans="1:25">
      <c r="A606" s="896"/>
      <c r="B606" s="896"/>
      <c r="C606" s="896"/>
      <c r="D606" s="896"/>
      <c r="E606" s="896"/>
      <c r="R606" s="897"/>
      <c r="S606" s="897"/>
      <c r="T606" s="897"/>
      <c r="U606" s="897"/>
      <c r="V606" s="897"/>
      <c r="W606" s="897"/>
      <c r="X606" s="897"/>
      <c r="Y606" s="897"/>
    </row>
    <row r="607" spans="1:25">
      <c r="A607" s="896"/>
      <c r="B607" s="896"/>
      <c r="C607" s="896"/>
      <c r="D607" s="896"/>
      <c r="E607" s="896"/>
      <c r="R607" s="897"/>
      <c r="S607" s="897"/>
      <c r="T607" s="897"/>
      <c r="U607" s="897"/>
      <c r="V607" s="897"/>
      <c r="W607" s="897"/>
      <c r="X607" s="897"/>
      <c r="Y607" s="897"/>
    </row>
    <row r="608" spans="1:25">
      <c r="A608" s="896"/>
      <c r="B608" s="896"/>
      <c r="C608" s="896"/>
      <c r="D608" s="896"/>
      <c r="E608" s="896"/>
      <c r="R608" s="897"/>
      <c r="S608" s="897"/>
      <c r="T608" s="897"/>
      <c r="U608" s="897"/>
      <c r="V608" s="897"/>
      <c r="W608" s="897"/>
      <c r="X608" s="897"/>
      <c r="Y608" s="897"/>
    </row>
    <row r="609" spans="1:25">
      <c r="A609" s="896"/>
      <c r="B609" s="896"/>
      <c r="C609" s="896"/>
      <c r="D609" s="896"/>
      <c r="E609" s="896"/>
      <c r="R609" s="897"/>
      <c r="S609" s="897"/>
      <c r="T609" s="897"/>
      <c r="U609" s="897"/>
      <c r="V609" s="897"/>
      <c r="W609" s="897"/>
      <c r="X609" s="897"/>
      <c r="Y609" s="897"/>
    </row>
    <row r="610" spans="1:25">
      <c r="A610" s="896"/>
      <c r="B610" s="896"/>
      <c r="C610" s="896"/>
      <c r="D610" s="896"/>
      <c r="E610" s="896"/>
      <c r="R610" s="897"/>
      <c r="S610" s="897"/>
      <c r="T610" s="897"/>
      <c r="U610" s="897"/>
      <c r="V610" s="897"/>
      <c r="W610" s="897"/>
      <c r="X610" s="897"/>
      <c r="Y610" s="897"/>
    </row>
    <row r="611" spans="1:25">
      <c r="A611" s="896"/>
      <c r="B611" s="896"/>
      <c r="C611" s="896"/>
      <c r="D611" s="896"/>
      <c r="E611" s="896"/>
      <c r="R611" s="897"/>
      <c r="S611" s="897"/>
      <c r="T611" s="897"/>
      <c r="U611" s="897"/>
      <c r="V611" s="897"/>
      <c r="W611" s="897"/>
      <c r="X611" s="897"/>
      <c r="Y611" s="897"/>
    </row>
    <row r="612" spans="1:25">
      <c r="A612" s="896"/>
      <c r="B612" s="896"/>
      <c r="C612" s="896"/>
      <c r="D612" s="896"/>
      <c r="E612" s="896"/>
      <c r="R612" s="897"/>
      <c r="S612" s="897"/>
      <c r="T612" s="897"/>
      <c r="U612" s="897"/>
      <c r="V612" s="897"/>
      <c r="W612" s="897"/>
      <c r="X612" s="897"/>
      <c r="Y612" s="897"/>
    </row>
    <row r="613" spans="1:25">
      <c r="A613" s="896"/>
      <c r="B613" s="896"/>
      <c r="C613" s="896"/>
      <c r="D613" s="896"/>
      <c r="E613" s="896"/>
      <c r="R613" s="897"/>
      <c r="S613" s="897"/>
      <c r="T613" s="897"/>
      <c r="U613" s="897"/>
      <c r="V613" s="897"/>
      <c r="W613" s="897"/>
      <c r="X613" s="897"/>
      <c r="Y613" s="897"/>
    </row>
    <row r="614" spans="1:25">
      <c r="A614" s="896"/>
      <c r="B614" s="896"/>
      <c r="C614" s="896"/>
      <c r="D614" s="896"/>
      <c r="E614" s="896"/>
      <c r="R614" s="897"/>
      <c r="S614" s="897"/>
      <c r="T614" s="897"/>
      <c r="U614" s="897"/>
      <c r="V614" s="897"/>
      <c r="W614" s="897"/>
      <c r="X614" s="897"/>
      <c r="Y614" s="897"/>
    </row>
    <row r="615" spans="1:25">
      <c r="A615" s="896"/>
      <c r="B615" s="896"/>
      <c r="C615" s="896"/>
      <c r="D615" s="896"/>
      <c r="E615" s="896"/>
      <c r="R615" s="897"/>
      <c r="S615" s="897"/>
      <c r="T615" s="897"/>
      <c r="U615" s="897"/>
      <c r="V615" s="897"/>
      <c r="W615" s="897"/>
      <c r="X615" s="897"/>
      <c r="Y615" s="897"/>
    </row>
    <row r="616" spans="1:25">
      <c r="A616" s="896"/>
      <c r="B616" s="896"/>
      <c r="C616" s="896"/>
      <c r="D616" s="896"/>
      <c r="E616" s="896"/>
      <c r="R616" s="897"/>
      <c r="S616" s="897"/>
      <c r="T616" s="897"/>
      <c r="U616" s="897"/>
      <c r="V616" s="897"/>
      <c r="W616" s="897"/>
      <c r="X616" s="897"/>
      <c r="Y616" s="897"/>
    </row>
    <row r="617" spans="1:25">
      <c r="A617" s="896"/>
      <c r="B617" s="896"/>
      <c r="C617" s="896"/>
      <c r="D617" s="896"/>
      <c r="E617" s="896"/>
      <c r="R617" s="897"/>
      <c r="S617" s="897"/>
      <c r="T617" s="897"/>
      <c r="U617" s="897"/>
      <c r="V617" s="897"/>
      <c r="W617" s="897"/>
      <c r="X617" s="897"/>
      <c r="Y617" s="897"/>
    </row>
    <row r="618" spans="1:25">
      <c r="A618" s="896"/>
      <c r="B618" s="896"/>
      <c r="C618" s="896"/>
      <c r="D618" s="896"/>
      <c r="E618" s="896"/>
      <c r="R618" s="897"/>
      <c r="S618" s="897"/>
      <c r="T618" s="897"/>
      <c r="U618" s="897"/>
      <c r="V618" s="897"/>
      <c r="W618" s="897"/>
      <c r="X618" s="897"/>
      <c r="Y618" s="897"/>
    </row>
    <row r="619" spans="1:25">
      <c r="A619" s="896"/>
      <c r="B619" s="896"/>
      <c r="C619" s="896"/>
      <c r="D619" s="896"/>
      <c r="E619" s="896"/>
      <c r="R619" s="897"/>
      <c r="S619" s="897"/>
      <c r="T619" s="897"/>
      <c r="U619" s="897"/>
      <c r="V619" s="897"/>
      <c r="W619" s="897"/>
      <c r="X619" s="897"/>
      <c r="Y619" s="897"/>
    </row>
    <row r="620" spans="1:25">
      <c r="A620" s="896"/>
      <c r="B620" s="896"/>
      <c r="C620" s="896"/>
      <c r="D620" s="896"/>
      <c r="E620" s="896"/>
      <c r="R620" s="897"/>
      <c r="S620" s="897"/>
      <c r="T620" s="897"/>
      <c r="U620" s="897"/>
      <c r="V620" s="897"/>
      <c r="W620" s="897"/>
      <c r="X620" s="897"/>
      <c r="Y620" s="897"/>
    </row>
    <row r="621" spans="1:25">
      <c r="A621" s="896"/>
      <c r="B621" s="896"/>
      <c r="C621" s="896"/>
      <c r="D621" s="896"/>
      <c r="E621" s="896"/>
      <c r="R621" s="897"/>
      <c r="S621" s="897"/>
      <c r="T621" s="897"/>
      <c r="U621" s="897"/>
      <c r="V621" s="897"/>
      <c r="W621" s="897"/>
      <c r="X621" s="897"/>
      <c r="Y621" s="897"/>
    </row>
    <row r="622" spans="1:25">
      <c r="A622" s="896"/>
      <c r="B622" s="896"/>
      <c r="C622" s="896"/>
      <c r="D622" s="896"/>
      <c r="E622" s="896"/>
      <c r="R622" s="897"/>
      <c r="S622" s="897"/>
      <c r="T622" s="897"/>
      <c r="U622" s="897"/>
      <c r="V622" s="897"/>
      <c r="W622" s="897"/>
      <c r="X622" s="897"/>
      <c r="Y622" s="897"/>
    </row>
    <row r="623" spans="1:25">
      <c r="A623" s="896"/>
      <c r="B623" s="896"/>
      <c r="C623" s="896"/>
      <c r="D623" s="896"/>
      <c r="E623" s="896"/>
      <c r="R623" s="897"/>
      <c r="S623" s="897"/>
      <c r="T623" s="897"/>
      <c r="U623" s="897"/>
      <c r="V623" s="897"/>
      <c r="W623" s="897"/>
      <c r="X623" s="897"/>
      <c r="Y623" s="897"/>
    </row>
    <row r="624" spans="1:25">
      <c r="A624" s="896"/>
      <c r="B624" s="896"/>
      <c r="C624" s="896"/>
      <c r="D624" s="896"/>
      <c r="E624" s="896"/>
      <c r="R624" s="897"/>
      <c r="S624" s="897"/>
      <c r="T624" s="897"/>
      <c r="U624" s="897"/>
      <c r="V624" s="897"/>
      <c r="W624" s="897"/>
      <c r="X624" s="897"/>
      <c r="Y624" s="897"/>
    </row>
    <row r="625" spans="1:25">
      <c r="A625" s="896"/>
      <c r="B625" s="896"/>
      <c r="C625" s="896"/>
      <c r="D625" s="896"/>
      <c r="E625" s="896"/>
      <c r="R625" s="897"/>
      <c r="S625" s="897"/>
      <c r="T625" s="897"/>
      <c r="U625" s="897"/>
      <c r="V625" s="897"/>
      <c r="W625" s="897"/>
      <c r="X625" s="897"/>
      <c r="Y625" s="897"/>
    </row>
    <row r="626" spans="1:25">
      <c r="A626" s="896"/>
      <c r="B626" s="896"/>
      <c r="C626" s="896"/>
      <c r="D626" s="896"/>
      <c r="E626" s="896"/>
      <c r="R626" s="897"/>
      <c r="S626" s="897"/>
      <c r="T626" s="897"/>
      <c r="U626" s="897"/>
      <c r="V626" s="897"/>
      <c r="W626" s="897"/>
      <c r="X626" s="897"/>
      <c r="Y626" s="897"/>
    </row>
    <row r="627" spans="1:25">
      <c r="A627" s="896"/>
      <c r="B627" s="896"/>
      <c r="C627" s="896"/>
      <c r="D627" s="896"/>
      <c r="E627" s="896"/>
      <c r="R627" s="897"/>
      <c r="S627" s="897"/>
      <c r="T627" s="897"/>
      <c r="U627" s="897"/>
      <c r="V627" s="897"/>
      <c r="W627" s="897"/>
      <c r="X627" s="897"/>
      <c r="Y627" s="897"/>
    </row>
    <row r="628" spans="1:25">
      <c r="A628" s="896"/>
      <c r="B628" s="896"/>
      <c r="C628" s="896"/>
      <c r="D628" s="896"/>
      <c r="E628" s="896"/>
      <c r="R628" s="897"/>
      <c r="S628" s="897"/>
      <c r="T628" s="897"/>
      <c r="U628" s="897"/>
      <c r="V628" s="897"/>
      <c r="W628" s="897"/>
      <c r="X628" s="897"/>
      <c r="Y628" s="897"/>
    </row>
    <row r="629" spans="1:25">
      <c r="A629" s="896"/>
      <c r="B629" s="896"/>
      <c r="C629" s="896"/>
      <c r="D629" s="896"/>
      <c r="E629" s="896"/>
      <c r="R629" s="897"/>
      <c r="S629" s="897"/>
      <c r="T629" s="897"/>
      <c r="U629" s="897"/>
      <c r="V629" s="897"/>
      <c r="W629" s="897"/>
      <c r="X629" s="897"/>
      <c r="Y629" s="897"/>
    </row>
    <row r="630" spans="1:25">
      <c r="A630" s="896"/>
      <c r="B630" s="896"/>
      <c r="C630" s="896"/>
      <c r="D630" s="896"/>
      <c r="E630" s="896"/>
      <c r="R630" s="897"/>
      <c r="S630" s="897"/>
      <c r="T630" s="897"/>
      <c r="U630" s="897"/>
      <c r="V630" s="897"/>
      <c r="W630" s="897"/>
      <c r="X630" s="897"/>
      <c r="Y630" s="897"/>
    </row>
    <row r="631" spans="1:25">
      <c r="A631" s="896"/>
      <c r="B631" s="896"/>
      <c r="C631" s="896"/>
      <c r="D631" s="896"/>
      <c r="E631" s="896"/>
      <c r="R631" s="897"/>
      <c r="S631" s="897"/>
      <c r="T631" s="897"/>
      <c r="U631" s="897"/>
      <c r="V631" s="897"/>
      <c r="W631" s="897"/>
      <c r="X631" s="897"/>
      <c r="Y631" s="897"/>
    </row>
    <row r="632" spans="1:25">
      <c r="A632" s="896"/>
      <c r="B632" s="896"/>
      <c r="C632" s="896"/>
      <c r="D632" s="896"/>
      <c r="E632" s="896"/>
      <c r="R632" s="897"/>
      <c r="S632" s="897"/>
      <c r="T632" s="897"/>
      <c r="U632" s="897"/>
      <c r="V632" s="897"/>
      <c r="W632" s="897"/>
      <c r="X632" s="897"/>
      <c r="Y632" s="897"/>
    </row>
    <row r="633" spans="1:25">
      <c r="A633" s="896"/>
      <c r="B633" s="896"/>
      <c r="C633" s="896"/>
      <c r="D633" s="896"/>
      <c r="E633" s="896"/>
      <c r="R633" s="897"/>
      <c r="S633" s="897"/>
      <c r="T633" s="897"/>
      <c r="U633" s="897"/>
      <c r="V633" s="897"/>
      <c r="W633" s="897"/>
      <c r="X633" s="897"/>
      <c r="Y633" s="897"/>
    </row>
    <row r="634" spans="1:25">
      <c r="A634" s="896"/>
      <c r="B634" s="896"/>
      <c r="C634" s="896"/>
      <c r="D634" s="896"/>
      <c r="E634" s="896"/>
      <c r="R634" s="897"/>
      <c r="S634" s="897"/>
      <c r="T634" s="897"/>
      <c r="U634" s="897"/>
      <c r="V634" s="897"/>
      <c r="W634" s="897"/>
      <c r="X634" s="897"/>
      <c r="Y634" s="897"/>
    </row>
    <row r="635" spans="1:25">
      <c r="A635" s="896"/>
      <c r="B635" s="896"/>
      <c r="C635" s="896"/>
      <c r="D635" s="896"/>
      <c r="E635" s="896"/>
      <c r="R635" s="897"/>
      <c r="S635" s="897"/>
      <c r="T635" s="897"/>
      <c r="U635" s="897"/>
      <c r="V635" s="897"/>
      <c r="W635" s="897"/>
      <c r="X635" s="897"/>
      <c r="Y635" s="897"/>
    </row>
    <row r="636" spans="1:25">
      <c r="A636" s="896"/>
      <c r="B636" s="896"/>
      <c r="C636" s="896"/>
      <c r="D636" s="896"/>
      <c r="E636" s="896"/>
      <c r="R636" s="897"/>
      <c r="S636" s="897"/>
      <c r="T636" s="897"/>
      <c r="U636" s="897"/>
      <c r="V636" s="897"/>
      <c r="W636" s="897"/>
      <c r="X636" s="897"/>
      <c r="Y636" s="897"/>
    </row>
    <row r="637" spans="1:25">
      <c r="A637" s="896"/>
      <c r="B637" s="896"/>
      <c r="C637" s="896"/>
      <c r="D637" s="896"/>
      <c r="E637" s="896"/>
      <c r="R637" s="897"/>
      <c r="S637" s="897"/>
      <c r="T637" s="897"/>
      <c r="U637" s="897"/>
      <c r="V637" s="897"/>
      <c r="W637" s="897"/>
      <c r="X637" s="897"/>
      <c r="Y637" s="897"/>
    </row>
    <row r="638" spans="1:25">
      <c r="A638" s="896"/>
      <c r="B638" s="896"/>
      <c r="C638" s="896"/>
      <c r="D638" s="896"/>
      <c r="E638" s="896"/>
      <c r="R638" s="897"/>
      <c r="S638" s="897"/>
      <c r="T638" s="897"/>
      <c r="U638" s="897"/>
      <c r="V638" s="897"/>
      <c r="W638" s="897"/>
      <c r="X638" s="897"/>
      <c r="Y638" s="897"/>
    </row>
    <row r="639" spans="1:25">
      <c r="A639" s="896"/>
      <c r="B639" s="896"/>
      <c r="C639" s="896"/>
      <c r="D639" s="896"/>
      <c r="E639" s="896"/>
      <c r="R639" s="897"/>
      <c r="S639" s="897"/>
      <c r="T639" s="897"/>
      <c r="U639" s="897"/>
      <c r="V639" s="897"/>
      <c r="W639" s="897"/>
      <c r="X639" s="897"/>
      <c r="Y639" s="897"/>
    </row>
    <row r="640" spans="1:25">
      <c r="A640" s="896"/>
      <c r="B640" s="896"/>
      <c r="C640" s="896"/>
      <c r="D640" s="896"/>
      <c r="E640" s="896"/>
      <c r="R640" s="897"/>
      <c r="S640" s="897"/>
      <c r="T640" s="897"/>
      <c r="U640" s="897"/>
      <c r="V640" s="897"/>
      <c r="W640" s="897"/>
      <c r="X640" s="897"/>
      <c r="Y640" s="897"/>
    </row>
    <row r="641" spans="1:25">
      <c r="A641" s="896"/>
      <c r="B641" s="896"/>
      <c r="C641" s="896"/>
      <c r="D641" s="896"/>
      <c r="E641" s="896"/>
      <c r="R641" s="897"/>
      <c r="S641" s="897"/>
      <c r="T641" s="897"/>
      <c r="U641" s="897"/>
      <c r="V641" s="897"/>
      <c r="W641" s="897"/>
      <c r="X641" s="897"/>
      <c r="Y641" s="897"/>
    </row>
    <row r="642" spans="1:25">
      <c r="A642" s="896"/>
      <c r="B642" s="896"/>
      <c r="C642" s="896"/>
      <c r="D642" s="896"/>
      <c r="E642" s="896"/>
      <c r="R642" s="897"/>
      <c r="S642" s="897"/>
      <c r="T642" s="897"/>
      <c r="U642" s="897"/>
      <c r="V642" s="897"/>
      <c r="W642" s="897"/>
      <c r="X642" s="897"/>
      <c r="Y642" s="897"/>
    </row>
    <row r="643" spans="1:25">
      <c r="A643" s="896"/>
      <c r="B643" s="896"/>
      <c r="C643" s="896"/>
      <c r="D643" s="896"/>
      <c r="E643" s="896"/>
      <c r="R643" s="897"/>
      <c r="S643" s="897"/>
      <c r="T643" s="897"/>
      <c r="U643" s="897"/>
      <c r="V643" s="897"/>
      <c r="W643" s="897"/>
      <c r="X643" s="897"/>
      <c r="Y643" s="897"/>
    </row>
    <row r="644" spans="1:25">
      <c r="A644" s="896"/>
      <c r="B644" s="896"/>
      <c r="C644" s="896"/>
      <c r="D644" s="896"/>
      <c r="E644" s="896"/>
      <c r="R644" s="897"/>
      <c r="S644" s="897"/>
      <c r="T644" s="897"/>
      <c r="U644" s="897"/>
      <c r="V644" s="897"/>
      <c r="W644" s="897"/>
      <c r="X644" s="897"/>
      <c r="Y644" s="897"/>
    </row>
    <row r="645" spans="1:25">
      <c r="A645" s="896"/>
      <c r="B645" s="896"/>
      <c r="C645" s="896"/>
      <c r="D645" s="896"/>
      <c r="E645" s="896"/>
      <c r="R645" s="897"/>
      <c r="S645" s="897"/>
      <c r="T645" s="897"/>
      <c r="U645" s="897"/>
      <c r="V645" s="897"/>
      <c r="W645" s="897"/>
      <c r="X645" s="897"/>
      <c r="Y645" s="897"/>
    </row>
    <row r="646" spans="1:25">
      <c r="A646" s="896"/>
      <c r="B646" s="896"/>
      <c r="C646" s="896"/>
      <c r="D646" s="896"/>
      <c r="E646" s="896"/>
      <c r="R646" s="897"/>
      <c r="S646" s="897"/>
      <c r="T646" s="897"/>
      <c r="U646" s="897"/>
      <c r="V646" s="897"/>
      <c r="W646" s="897"/>
      <c r="X646" s="897"/>
      <c r="Y646" s="897"/>
    </row>
    <row r="647" spans="1:25">
      <c r="A647" s="896"/>
      <c r="B647" s="896"/>
      <c r="C647" s="896"/>
      <c r="D647" s="896"/>
      <c r="E647" s="896"/>
      <c r="R647" s="897"/>
      <c r="S647" s="897"/>
      <c r="T647" s="897"/>
      <c r="U647" s="897"/>
      <c r="V647" s="897"/>
      <c r="W647" s="897"/>
      <c r="X647" s="897"/>
      <c r="Y647" s="897"/>
    </row>
    <row r="648" spans="1:25">
      <c r="A648" s="896"/>
      <c r="B648" s="896"/>
      <c r="C648" s="896"/>
      <c r="D648" s="896"/>
      <c r="E648" s="896"/>
      <c r="R648" s="897"/>
      <c r="S648" s="897"/>
      <c r="T648" s="897"/>
      <c r="U648" s="897"/>
      <c r="V648" s="897"/>
      <c r="W648" s="897"/>
      <c r="X648" s="897"/>
      <c r="Y648" s="897"/>
    </row>
    <row r="649" spans="1:25">
      <c r="A649" s="896"/>
      <c r="B649" s="896"/>
      <c r="C649" s="896"/>
      <c r="D649" s="896"/>
      <c r="E649" s="896"/>
      <c r="R649" s="897"/>
      <c r="S649" s="897"/>
      <c r="T649" s="897"/>
      <c r="U649" s="897"/>
      <c r="V649" s="897"/>
      <c r="W649" s="897"/>
      <c r="X649" s="897"/>
      <c r="Y649" s="897"/>
    </row>
    <row r="650" spans="1:25">
      <c r="A650" s="896"/>
      <c r="B650" s="896"/>
      <c r="C650" s="896"/>
      <c r="D650" s="896"/>
      <c r="E650" s="896"/>
      <c r="R650" s="897"/>
      <c r="S650" s="897"/>
      <c r="T650" s="897"/>
      <c r="U650" s="897"/>
      <c r="V650" s="897"/>
      <c r="W650" s="897"/>
      <c r="X650" s="897"/>
      <c r="Y650" s="897"/>
    </row>
    <row r="651" spans="1:25">
      <c r="A651" s="896"/>
      <c r="B651" s="896"/>
      <c r="C651" s="896"/>
      <c r="D651" s="896"/>
      <c r="E651" s="896"/>
      <c r="R651" s="897"/>
      <c r="S651" s="897"/>
      <c r="T651" s="897"/>
      <c r="U651" s="897"/>
      <c r="V651" s="897"/>
      <c r="W651" s="897"/>
      <c r="X651" s="897"/>
      <c r="Y651" s="897"/>
    </row>
    <row r="652" spans="1:25">
      <c r="A652" s="896"/>
      <c r="B652" s="896"/>
      <c r="C652" s="896"/>
      <c r="D652" s="896"/>
      <c r="E652" s="896"/>
      <c r="R652" s="897"/>
      <c r="S652" s="897"/>
      <c r="T652" s="897"/>
      <c r="U652" s="897"/>
      <c r="V652" s="897"/>
      <c r="W652" s="897"/>
      <c r="X652" s="897"/>
      <c r="Y652" s="897"/>
    </row>
    <row r="653" spans="1:25">
      <c r="A653" s="896"/>
      <c r="B653" s="896"/>
      <c r="C653" s="896"/>
      <c r="D653" s="896"/>
      <c r="E653" s="896"/>
      <c r="R653" s="897"/>
      <c r="S653" s="897"/>
      <c r="T653" s="897"/>
      <c r="U653" s="897"/>
      <c r="V653" s="897"/>
      <c r="W653" s="897"/>
      <c r="X653" s="897"/>
      <c r="Y653" s="897"/>
    </row>
    <row r="654" spans="1:25">
      <c r="A654" s="896"/>
      <c r="B654" s="896"/>
      <c r="C654" s="896"/>
      <c r="D654" s="896"/>
      <c r="E654" s="896"/>
      <c r="R654" s="897"/>
      <c r="S654" s="897"/>
      <c r="T654" s="897"/>
      <c r="U654" s="897"/>
      <c r="V654" s="897"/>
      <c r="W654" s="897"/>
      <c r="X654" s="897"/>
      <c r="Y654" s="897"/>
    </row>
    <row r="655" spans="1:25">
      <c r="A655" s="896"/>
      <c r="B655" s="896"/>
      <c r="C655" s="896"/>
      <c r="D655" s="896"/>
      <c r="E655" s="896"/>
      <c r="R655" s="897"/>
      <c r="S655" s="897"/>
      <c r="T655" s="897"/>
      <c r="U655" s="897"/>
      <c r="V655" s="897"/>
      <c r="W655" s="897"/>
      <c r="X655" s="897"/>
      <c r="Y655" s="897"/>
    </row>
    <row r="656" spans="1:25">
      <c r="A656" s="896"/>
      <c r="B656" s="896"/>
      <c r="C656" s="896"/>
      <c r="D656" s="896"/>
      <c r="E656" s="896"/>
      <c r="R656" s="897"/>
      <c r="S656" s="897"/>
      <c r="T656" s="897"/>
      <c r="U656" s="897"/>
      <c r="V656" s="897"/>
      <c r="W656" s="897"/>
      <c r="X656" s="897"/>
      <c r="Y656" s="897"/>
    </row>
    <row r="657" spans="1:25">
      <c r="A657" s="896"/>
      <c r="B657" s="896"/>
      <c r="C657" s="896"/>
      <c r="D657" s="896"/>
      <c r="E657" s="896"/>
      <c r="R657" s="897"/>
      <c r="S657" s="897"/>
      <c r="T657" s="897"/>
      <c r="U657" s="897"/>
      <c r="V657" s="897"/>
      <c r="W657" s="897"/>
      <c r="X657" s="897"/>
      <c r="Y657" s="897"/>
    </row>
    <row r="658" spans="1:25">
      <c r="A658" s="896"/>
      <c r="B658" s="896"/>
      <c r="C658" s="896"/>
      <c r="D658" s="896"/>
      <c r="E658" s="896"/>
      <c r="R658" s="897"/>
      <c r="S658" s="897"/>
      <c r="T658" s="897"/>
      <c r="U658" s="897"/>
      <c r="V658" s="897"/>
      <c r="W658" s="897"/>
      <c r="X658" s="897"/>
      <c r="Y658" s="897"/>
    </row>
    <row r="659" spans="1:25">
      <c r="A659" s="896"/>
      <c r="B659" s="896"/>
      <c r="C659" s="896"/>
      <c r="D659" s="896"/>
      <c r="E659" s="896"/>
      <c r="R659" s="897"/>
      <c r="S659" s="897"/>
      <c r="T659" s="897"/>
      <c r="U659" s="897"/>
      <c r="V659" s="897"/>
      <c r="W659" s="897"/>
      <c r="X659" s="897"/>
      <c r="Y659" s="897"/>
    </row>
    <row r="660" spans="1:25">
      <c r="A660" s="896"/>
      <c r="B660" s="896"/>
      <c r="C660" s="896"/>
      <c r="D660" s="896"/>
      <c r="E660" s="896"/>
      <c r="R660" s="897"/>
      <c r="S660" s="897"/>
      <c r="T660" s="897"/>
      <c r="U660" s="897"/>
      <c r="V660" s="897"/>
      <c r="W660" s="897"/>
      <c r="X660" s="897"/>
      <c r="Y660" s="897"/>
    </row>
    <row r="661" spans="1:25">
      <c r="A661" s="896"/>
      <c r="B661" s="896"/>
      <c r="C661" s="896"/>
      <c r="D661" s="896"/>
      <c r="E661" s="896"/>
      <c r="R661" s="897"/>
      <c r="S661" s="897"/>
      <c r="T661" s="897"/>
      <c r="U661" s="897"/>
      <c r="V661" s="897"/>
      <c r="W661" s="897"/>
      <c r="X661" s="897"/>
      <c r="Y661" s="897"/>
    </row>
    <row r="662" spans="1:25">
      <c r="A662" s="896"/>
      <c r="B662" s="896"/>
      <c r="C662" s="896"/>
      <c r="D662" s="896"/>
      <c r="E662" s="896"/>
      <c r="R662" s="897"/>
      <c r="S662" s="897"/>
      <c r="T662" s="897"/>
      <c r="U662" s="897"/>
      <c r="V662" s="897"/>
      <c r="W662" s="897"/>
      <c r="X662" s="897"/>
      <c r="Y662" s="897"/>
    </row>
    <row r="663" spans="1:25">
      <c r="A663" s="896"/>
      <c r="B663" s="896"/>
      <c r="C663" s="896"/>
      <c r="D663" s="896"/>
      <c r="E663" s="896"/>
      <c r="R663" s="897"/>
      <c r="S663" s="897"/>
      <c r="T663" s="897"/>
      <c r="U663" s="897"/>
      <c r="V663" s="897"/>
      <c r="W663" s="897"/>
      <c r="X663" s="897"/>
      <c r="Y663" s="897"/>
    </row>
    <row r="664" spans="1:25">
      <c r="A664" s="896"/>
      <c r="B664" s="896"/>
      <c r="C664" s="896"/>
      <c r="D664" s="896"/>
      <c r="E664" s="896"/>
      <c r="R664" s="897"/>
      <c r="S664" s="897"/>
      <c r="T664" s="897"/>
      <c r="U664" s="897"/>
      <c r="V664" s="897"/>
      <c r="W664" s="897"/>
      <c r="X664" s="897"/>
      <c r="Y664" s="897"/>
    </row>
    <row r="665" spans="1:25">
      <c r="A665" s="896"/>
      <c r="B665" s="896"/>
      <c r="C665" s="896"/>
      <c r="D665" s="896"/>
      <c r="E665" s="896"/>
      <c r="R665" s="897"/>
      <c r="S665" s="897"/>
      <c r="T665" s="897"/>
      <c r="U665" s="897"/>
      <c r="V665" s="897"/>
      <c r="W665" s="897"/>
      <c r="X665" s="897"/>
      <c r="Y665" s="897"/>
    </row>
    <row r="666" spans="1:25">
      <c r="A666" s="896"/>
      <c r="B666" s="896"/>
      <c r="C666" s="896"/>
      <c r="D666" s="896"/>
      <c r="E666" s="896"/>
      <c r="R666" s="897"/>
      <c r="S666" s="897"/>
      <c r="T666" s="897"/>
      <c r="U666" s="897"/>
      <c r="V666" s="897"/>
      <c r="W666" s="897"/>
      <c r="X666" s="897"/>
      <c r="Y666" s="897"/>
    </row>
    <row r="667" spans="1:25">
      <c r="A667" s="896"/>
      <c r="B667" s="896"/>
      <c r="C667" s="896"/>
      <c r="D667" s="896"/>
      <c r="E667" s="896"/>
      <c r="R667" s="897"/>
      <c r="S667" s="897"/>
      <c r="T667" s="897"/>
      <c r="U667" s="897"/>
      <c r="V667" s="897"/>
      <c r="W667" s="897"/>
      <c r="X667" s="897"/>
      <c r="Y667" s="897"/>
    </row>
    <row r="668" spans="1:25">
      <c r="A668" s="896"/>
      <c r="B668" s="896"/>
      <c r="C668" s="896"/>
      <c r="D668" s="896"/>
      <c r="E668" s="896"/>
      <c r="R668" s="897"/>
      <c r="S668" s="897"/>
      <c r="T668" s="897"/>
      <c r="U668" s="897"/>
      <c r="V668" s="897"/>
      <c r="W668" s="897"/>
      <c r="X668" s="897"/>
      <c r="Y668" s="897"/>
    </row>
    <row r="669" spans="1:25">
      <c r="A669" s="896"/>
      <c r="B669" s="896"/>
      <c r="C669" s="896"/>
      <c r="D669" s="896"/>
      <c r="E669" s="896"/>
      <c r="R669" s="897"/>
      <c r="S669" s="897"/>
      <c r="T669" s="897"/>
      <c r="U669" s="897"/>
      <c r="V669" s="897"/>
      <c r="W669" s="897"/>
      <c r="X669" s="897"/>
      <c r="Y669" s="897"/>
    </row>
    <row r="670" spans="1:25">
      <c r="A670" s="896"/>
      <c r="B670" s="896"/>
      <c r="C670" s="896"/>
      <c r="D670" s="896"/>
      <c r="E670" s="896"/>
      <c r="R670" s="897"/>
      <c r="S670" s="897"/>
      <c r="T670" s="897"/>
      <c r="U670" s="897"/>
      <c r="V670" s="897"/>
      <c r="W670" s="897"/>
      <c r="X670" s="897"/>
      <c r="Y670" s="897"/>
    </row>
    <row r="671" spans="1:25">
      <c r="A671" s="896"/>
      <c r="B671" s="896"/>
      <c r="C671" s="896"/>
      <c r="D671" s="896"/>
      <c r="E671" s="896"/>
      <c r="R671" s="897"/>
      <c r="S671" s="897"/>
      <c r="T671" s="897"/>
      <c r="U671" s="897"/>
      <c r="V671" s="897"/>
      <c r="W671" s="897"/>
      <c r="X671" s="897"/>
      <c r="Y671" s="897"/>
    </row>
    <row r="672" spans="1:25">
      <c r="A672" s="896"/>
      <c r="B672" s="896"/>
      <c r="C672" s="896"/>
      <c r="D672" s="896"/>
      <c r="E672" s="896"/>
      <c r="R672" s="897"/>
      <c r="S672" s="897"/>
      <c r="T672" s="897"/>
      <c r="U672" s="897"/>
      <c r="V672" s="897"/>
      <c r="W672" s="897"/>
      <c r="X672" s="897"/>
      <c r="Y672" s="897"/>
    </row>
    <row r="673" spans="1:25">
      <c r="A673" s="896"/>
      <c r="B673" s="896"/>
      <c r="C673" s="896"/>
      <c r="D673" s="896"/>
      <c r="E673" s="896"/>
      <c r="R673" s="897"/>
      <c r="S673" s="897"/>
      <c r="T673" s="897"/>
      <c r="U673" s="897"/>
      <c r="V673" s="897"/>
      <c r="W673" s="897"/>
      <c r="X673" s="897"/>
      <c r="Y673" s="897"/>
    </row>
    <row r="674" spans="1:25">
      <c r="A674" s="896"/>
      <c r="B674" s="896"/>
      <c r="C674" s="896"/>
      <c r="D674" s="896"/>
      <c r="E674" s="896"/>
      <c r="R674" s="897"/>
      <c r="S674" s="897"/>
      <c r="T674" s="897"/>
      <c r="U674" s="897"/>
      <c r="V674" s="897"/>
      <c r="W674" s="897"/>
      <c r="X674" s="897"/>
      <c r="Y674" s="897"/>
    </row>
    <row r="675" spans="1:25">
      <c r="A675" s="896"/>
      <c r="B675" s="896"/>
      <c r="C675" s="896"/>
      <c r="D675" s="896"/>
      <c r="E675" s="896"/>
      <c r="R675" s="897"/>
      <c r="S675" s="897"/>
      <c r="T675" s="897"/>
      <c r="U675" s="897"/>
      <c r="V675" s="897"/>
      <c r="W675" s="897"/>
      <c r="X675" s="897"/>
      <c r="Y675" s="897"/>
    </row>
    <row r="676" spans="1:25">
      <c r="A676" s="896"/>
      <c r="B676" s="896"/>
      <c r="C676" s="896"/>
      <c r="D676" s="896"/>
      <c r="E676" s="896"/>
      <c r="R676" s="897"/>
      <c r="S676" s="897"/>
      <c r="T676" s="897"/>
      <c r="U676" s="897"/>
      <c r="V676" s="897"/>
      <c r="W676" s="897"/>
      <c r="X676" s="897"/>
      <c r="Y676" s="897"/>
    </row>
    <row r="677" spans="1:25">
      <c r="A677" s="896"/>
      <c r="B677" s="896"/>
      <c r="C677" s="896"/>
      <c r="D677" s="896"/>
      <c r="E677" s="896"/>
      <c r="R677" s="897"/>
      <c r="S677" s="897"/>
      <c r="T677" s="897"/>
      <c r="U677" s="897"/>
      <c r="V677" s="897"/>
      <c r="W677" s="897"/>
      <c r="X677" s="897"/>
      <c r="Y677" s="897"/>
    </row>
    <row r="678" spans="1:25">
      <c r="A678" s="896"/>
      <c r="B678" s="896"/>
      <c r="C678" s="896"/>
      <c r="D678" s="896"/>
      <c r="E678" s="896"/>
      <c r="R678" s="897"/>
      <c r="S678" s="897"/>
      <c r="T678" s="897"/>
      <c r="U678" s="897"/>
      <c r="V678" s="897"/>
      <c r="W678" s="897"/>
      <c r="X678" s="897"/>
      <c r="Y678" s="897"/>
    </row>
    <row r="679" spans="1:25">
      <c r="A679" s="896"/>
      <c r="B679" s="896"/>
      <c r="C679" s="896"/>
      <c r="D679" s="896"/>
      <c r="E679" s="896"/>
      <c r="R679" s="897"/>
      <c r="S679" s="897"/>
      <c r="T679" s="897"/>
      <c r="U679" s="897"/>
      <c r="V679" s="897"/>
      <c r="W679" s="897"/>
      <c r="X679" s="897"/>
      <c r="Y679" s="897"/>
    </row>
    <row r="680" spans="1:25">
      <c r="A680" s="896"/>
      <c r="B680" s="896"/>
      <c r="C680" s="896"/>
      <c r="D680" s="896"/>
      <c r="E680" s="896"/>
      <c r="R680" s="897"/>
      <c r="S680" s="897"/>
      <c r="T680" s="897"/>
      <c r="U680" s="897"/>
      <c r="V680" s="897"/>
      <c r="W680" s="897"/>
      <c r="X680" s="897"/>
      <c r="Y680" s="897"/>
    </row>
    <row r="681" spans="1:25">
      <c r="A681" s="896"/>
      <c r="B681" s="896"/>
      <c r="C681" s="896"/>
      <c r="D681" s="896"/>
      <c r="E681" s="896"/>
      <c r="R681" s="897"/>
      <c r="S681" s="897"/>
      <c r="T681" s="897"/>
      <c r="U681" s="897"/>
      <c r="V681" s="897"/>
      <c r="W681" s="897"/>
      <c r="X681" s="897"/>
      <c r="Y681" s="897"/>
    </row>
    <row r="682" spans="1:25">
      <c r="A682" s="896"/>
      <c r="B682" s="896"/>
      <c r="C682" s="896"/>
      <c r="D682" s="896"/>
      <c r="E682" s="896"/>
      <c r="R682" s="897"/>
      <c r="S682" s="897"/>
      <c r="T682" s="897"/>
      <c r="U682" s="897"/>
      <c r="V682" s="897"/>
      <c r="W682" s="897"/>
      <c r="X682" s="897"/>
      <c r="Y682" s="897"/>
    </row>
    <row r="683" spans="1:25">
      <c r="A683" s="896"/>
      <c r="B683" s="896"/>
      <c r="C683" s="896"/>
      <c r="D683" s="896"/>
      <c r="E683" s="896"/>
      <c r="R683" s="897"/>
      <c r="S683" s="897"/>
      <c r="T683" s="897"/>
      <c r="U683" s="897"/>
      <c r="V683" s="897"/>
      <c r="W683" s="897"/>
      <c r="X683" s="897"/>
      <c r="Y683" s="897"/>
    </row>
    <row r="684" spans="1:25">
      <c r="A684" s="896"/>
      <c r="B684" s="896"/>
      <c r="C684" s="896"/>
      <c r="D684" s="896"/>
      <c r="E684" s="896"/>
      <c r="R684" s="897"/>
      <c r="S684" s="897"/>
      <c r="T684" s="897"/>
      <c r="U684" s="897"/>
      <c r="V684" s="897"/>
      <c r="W684" s="897"/>
      <c r="X684" s="897"/>
      <c r="Y684" s="897"/>
    </row>
    <row r="685" spans="1:25">
      <c r="A685" s="896"/>
      <c r="B685" s="896"/>
      <c r="C685" s="896"/>
      <c r="D685" s="896"/>
      <c r="E685" s="896"/>
      <c r="R685" s="897"/>
      <c r="S685" s="897"/>
      <c r="T685" s="897"/>
      <c r="U685" s="897"/>
      <c r="V685" s="897"/>
      <c r="W685" s="897"/>
      <c r="X685" s="897"/>
      <c r="Y685" s="897"/>
    </row>
    <row r="686" spans="1:25">
      <c r="A686" s="896"/>
      <c r="B686" s="896"/>
      <c r="C686" s="896"/>
      <c r="D686" s="896"/>
      <c r="E686" s="896"/>
      <c r="R686" s="897"/>
      <c r="S686" s="897"/>
      <c r="T686" s="897"/>
      <c r="U686" s="897"/>
      <c r="V686" s="897"/>
      <c r="W686" s="897"/>
      <c r="X686" s="897"/>
      <c r="Y686" s="897"/>
    </row>
    <row r="687" spans="1:25">
      <c r="A687" s="896"/>
      <c r="B687" s="896"/>
      <c r="C687" s="896"/>
      <c r="D687" s="896"/>
      <c r="E687" s="896"/>
      <c r="R687" s="897"/>
      <c r="S687" s="897"/>
      <c r="T687" s="897"/>
      <c r="U687" s="897"/>
      <c r="V687" s="897"/>
      <c r="W687" s="897"/>
      <c r="X687" s="897"/>
      <c r="Y687" s="897"/>
    </row>
    <row r="688" spans="1:25">
      <c r="A688" s="896"/>
      <c r="B688" s="896"/>
      <c r="C688" s="896"/>
      <c r="D688" s="896"/>
      <c r="E688" s="896"/>
      <c r="R688" s="897"/>
      <c r="S688" s="897"/>
      <c r="T688" s="897"/>
      <c r="U688" s="897"/>
      <c r="V688" s="897"/>
      <c r="W688" s="897"/>
      <c r="X688" s="897"/>
      <c r="Y688" s="897"/>
    </row>
    <row r="689" spans="1:25">
      <c r="A689" s="896"/>
      <c r="B689" s="896"/>
      <c r="C689" s="896"/>
      <c r="D689" s="896"/>
      <c r="E689" s="896"/>
      <c r="R689" s="897"/>
      <c r="S689" s="897"/>
      <c r="T689" s="897"/>
      <c r="U689" s="897"/>
      <c r="V689" s="897"/>
      <c r="W689" s="897"/>
      <c r="X689" s="897"/>
      <c r="Y689" s="897"/>
    </row>
    <row r="690" spans="1:25">
      <c r="A690" s="896"/>
      <c r="B690" s="896"/>
      <c r="C690" s="896"/>
      <c r="D690" s="896"/>
      <c r="E690" s="896"/>
      <c r="R690" s="897"/>
      <c r="S690" s="897"/>
      <c r="T690" s="897"/>
      <c r="U690" s="897"/>
      <c r="V690" s="897"/>
      <c r="W690" s="897"/>
      <c r="X690" s="897"/>
      <c r="Y690" s="897"/>
    </row>
    <row r="691" spans="1:25">
      <c r="A691" s="896"/>
      <c r="B691" s="896"/>
      <c r="C691" s="896"/>
      <c r="D691" s="896"/>
      <c r="E691" s="896"/>
      <c r="R691" s="897"/>
      <c r="S691" s="897"/>
      <c r="T691" s="897"/>
      <c r="U691" s="897"/>
      <c r="V691" s="897"/>
      <c r="W691" s="897"/>
      <c r="X691" s="897"/>
      <c r="Y691" s="897"/>
    </row>
    <row r="692" spans="1:25">
      <c r="A692" s="896"/>
      <c r="B692" s="896"/>
      <c r="C692" s="896"/>
      <c r="D692" s="896"/>
      <c r="E692" s="896"/>
      <c r="R692" s="897"/>
      <c r="S692" s="897"/>
      <c r="T692" s="897"/>
      <c r="U692" s="897"/>
      <c r="V692" s="897"/>
      <c r="W692" s="897"/>
      <c r="X692" s="897"/>
      <c r="Y692" s="897"/>
    </row>
    <row r="693" spans="1:25">
      <c r="A693" s="896"/>
      <c r="B693" s="896"/>
      <c r="C693" s="896"/>
      <c r="D693" s="896"/>
      <c r="E693" s="896"/>
      <c r="R693" s="897"/>
      <c r="S693" s="897"/>
      <c r="T693" s="897"/>
      <c r="U693" s="897"/>
      <c r="V693" s="897"/>
      <c r="W693" s="897"/>
      <c r="X693" s="897"/>
      <c r="Y693" s="897"/>
    </row>
    <row r="694" spans="1:25">
      <c r="A694" s="896"/>
      <c r="B694" s="896"/>
      <c r="C694" s="896"/>
      <c r="D694" s="896"/>
      <c r="E694" s="896"/>
      <c r="R694" s="897"/>
      <c r="S694" s="897"/>
      <c r="T694" s="897"/>
      <c r="U694" s="897"/>
      <c r="V694" s="897"/>
      <c r="W694" s="897"/>
      <c r="X694" s="897"/>
      <c r="Y694" s="897"/>
    </row>
    <row r="695" spans="1:25">
      <c r="A695" s="896"/>
      <c r="B695" s="896"/>
      <c r="C695" s="896"/>
      <c r="D695" s="896"/>
      <c r="E695" s="896"/>
      <c r="R695" s="897"/>
      <c r="S695" s="897"/>
      <c r="T695" s="897"/>
      <c r="U695" s="897"/>
      <c r="V695" s="897"/>
      <c r="W695" s="897"/>
      <c r="X695" s="897"/>
      <c r="Y695" s="897"/>
    </row>
    <row r="696" spans="1:25">
      <c r="A696" s="896"/>
      <c r="B696" s="896"/>
      <c r="C696" s="896"/>
      <c r="D696" s="896"/>
      <c r="E696" s="896"/>
      <c r="R696" s="897"/>
      <c r="S696" s="897"/>
      <c r="T696" s="897"/>
      <c r="U696" s="897"/>
      <c r="V696" s="897"/>
      <c r="W696" s="897"/>
      <c r="X696" s="897"/>
      <c r="Y696" s="897"/>
    </row>
    <row r="697" spans="1:25">
      <c r="A697" s="896"/>
      <c r="B697" s="896"/>
      <c r="C697" s="896"/>
      <c r="D697" s="896"/>
      <c r="E697" s="896"/>
      <c r="R697" s="897"/>
      <c r="S697" s="897"/>
      <c r="T697" s="897"/>
      <c r="U697" s="897"/>
      <c r="V697" s="897"/>
      <c r="W697" s="897"/>
      <c r="X697" s="897"/>
      <c r="Y697" s="897"/>
    </row>
    <row r="698" spans="1:25">
      <c r="A698" s="896"/>
      <c r="B698" s="896"/>
      <c r="C698" s="896"/>
      <c r="D698" s="896"/>
      <c r="E698" s="896"/>
      <c r="R698" s="897"/>
      <c r="S698" s="897"/>
      <c r="T698" s="897"/>
      <c r="U698" s="897"/>
      <c r="V698" s="897"/>
      <c r="W698" s="897"/>
      <c r="X698" s="897"/>
      <c r="Y698" s="897"/>
    </row>
    <row r="699" spans="1:25">
      <c r="A699" s="896"/>
      <c r="B699" s="896"/>
      <c r="C699" s="896"/>
      <c r="D699" s="896"/>
      <c r="E699" s="896"/>
      <c r="R699" s="897"/>
      <c r="S699" s="897"/>
      <c r="T699" s="897"/>
      <c r="U699" s="897"/>
      <c r="V699" s="897"/>
      <c r="W699" s="897"/>
      <c r="X699" s="897"/>
      <c r="Y699" s="897"/>
    </row>
    <row r="700" spans="1:25">
      <c r="A700" s="896"/>
      <c r="B700" s="896"/>
      <c r="C700" s="896"/>
      <c r="D700" s="896"/>
      <c r="E700" s="896"/>
      <c r="R700" s="897"/>
      <c r="S700" s="897"/>
      <c r="T700" s="897"/>
      <c r="U700" s="897"/>
      <c r="V700" s="897"/>
      <c r="W700" s="897"/>
      <c r="X700" s="897"/>
      <c r="Y700" s="897"/>
    </row>
    <row r="701" spans="1:25">
      <c r="A701" s="896"/>
      <c r="B701" s="896"/>
      <c r="C701" s="896"/>
      <c r="D701" s="896"/>
      <c r="E701" s="896"/>
      <c r="R701" s="897"/>
      <c r="S701" s="897"/>
      <c r="T701" s="897"/>
      <c r="U701" s="897"/>
      <c r="V701" s="897"/>
      <c r="W701" s="897"/>
      <c r="X701" s="897"/>
      <c r="Y701" s="897"/>
    </row>
    <row r="702" spans="1:25">
      <c r="A702" s="896"/>
      <c r="B702" s="896"/>
      <c r="C702" s="896"/>
      <c r="D702" s="896"/>
      <c r="E702" s="896"/>
      <c r="R702" s="897"/>
      <c r="S702" s="897"/>
      <c r="T702" s="897"/>
      <c r="U702" s="897"/>
      <c r="V702" s="897"/>
      <c r="W702" s="897"/>
      <c r="X702" s="897"/>
      <c r="Y702" s="897"/>
    </row>
    <row r="703" spans="1:25">
      <c r="A703" s="896"/>
      <c r="B703" s="896"/>
      <c r="C703" s="896"/>
      <c r="D703" s="896"/>
      <c r="E703" s="896"/>
      <c r="R703" s="897"/>
      <c r="S703" s="897"/>
      <c r="T703" s="897"/>
      <c r="U703" s="897"/>
      <c r="V703" s="897"/>
      <c r="W703" s="897"/>
      <c r="X703" s="897"/>
      <c r="Y703" s="897"/>
    </row>
    <row r="704" spans="1:25">
      <c r="A704" s="896"/>
      <c r="B704" s="896"/>
      <c r="C704" s="896"/>
      <c r="D704" s="896"/>
      <c r="E704" s="896"/>
      <c r="R704" s="897"/>
      <c r="S704" s="897"/>
      <c r="T704" s="897"/>
      <c r="U704" s="897"/>
      <c r="V704" s="897"/>
      <c r="W704" s="897"/>
      <c r="X704" s="897"/>
      <c r="Y704" s="897"/>
    </row>
    <row r="705" spans="1:25">
      <c r="A705" s="896"/>
      <c r="B705" s="896"/>
      <c r="C705" s="896"/>
      <c r="D705" s="896"/>
      <c r="E705" s="896"/>
      <c r="R705" s="897"/>
      <c r="S705" s="897"/>
      <c r="T705" s="897"/>
      <c r="U705" s="897"/>
      <c r="V705" s="897"/>
      <c r="W705" s="897"/>
      <c r="X705" s="897"/>
      <c r="Y705" s="897"/>
    </row>
    <row r="706" spans="1:25">
      <c r="A706" s="896"/>
      <c r="B706" s="896"/>
      <c r="C706" s="896"/>
      <c r="D706" s="896"/>
      <c r="E706" s="896"/>
      <c r="R706" s="897"/>
      <c r="S706" s="897"/>
      <c r="T706" s="897"/>
      <c r="U706" s="897"/>
      <c r="V706" s="897"/>
      <c r="W706" s="897"/>
      <c r="X706" s="897"/>
      <c r="Y706" s="897"/>
    </row>
    <row r="707" spans="1:25">
      <c r="A707" s="896"/>
      <c r="B707" s="896"/>
      <c r="C707" s="896"/>
      <c r="D707" s="896"/>
      <c r="E707" s="896"/>
      <c r="R707" s="897"/>
      <c r="S707" s="897"/>
      <c r="T707" s="897"/>
      <c r="U707" s="897"/>
      <c r="V707" s="897"/>
      <c r="W707" s="897"/>
      <c r="X707" s="897"/>
      <c r="Y707" s="897"/>
    </row>
    <row r="708" spans="1:25">
      <c r="A708" s="896"/>
      <c r="B708" s="896"/>
      <c r="C708" s="896"/>
      <c r="D708" s="896"/>
      <c r="E708" s="896"/>
      <c r="R708" s="897"/>
      <c r="S708" s="897"/>
      <c r="T708" s="897"/>
      <c r="U708" s="897"/>
      <c r="V708" s="897"/>
      <c r="W708" s="897"/>
      <c r="X708" s="897"/>
      <c r="Y708" s="897"/>
    </row>
    <row r="709" spans="1:25">
      <c r="A709" s="896"/>
      <c r="B709" s="896"/>
      <c r="C709" s="896"/>
      <c r="D709" s="896"/>
      <c r="E709" s="896"/>
      <c r="R709" s="897"/>
      <c r="S709" s="897"/>
      <c r="T709" s="897"/>
      <c r="U709" s="897"/>
      <c r="V709" s="897"/>
      <c r="W709" s="897"/>
      <c r="X709" s="897"/>
      <c r="Y709" s="897"/>
    </row>
    <row r="710" spans="1:25">
      <c r="A710" s="896"/>
      <c r="B710" s="896"/>
      <c r="C710" s="896"/>
      <c r="D710" s="896"/>
      <c r="E710" s="896"/>
      <c r="R710" s="897"/>
      <c r="S710" s="897"/>
      <c r="T710" s="897"/>
      <c r="U710" s="897"/>
      <c r="V710" s="897"/>
      <c r="W710" s="897"/>
      <c r="X710" s="897"/>
      <c r="Y710" s="897"/>
    </row>
    <row r="711" spans="1:25">
      <c r="A711" s="896"/>
      <c r="B711" s="896"/>
      <c r="C711" s="896"/>
      <c r="D711" s="896"/>
      <c r="E711" s="896"/>
      <c r="R711" s="897"/>
      <c r="S711" s="897"/>
      <c r="T711" s="897"/>
      <c r="U711" s="897"/>
      <c r="V711" s="897"/>
      <c r="W711" s="897"/>
      <c r="X711" s="897"/>
      <c r="Y711" s="897"/>
    </row>
    <row r="712" spans="1:25">
      <c r="A712" s="896"/>
      <c r="B712" s="896"/>
      <c r="C712" s="896"/>
      <c r="D712" s="896"/>
      <c r="E712" s="896"/>
      <c r="R712" s="897"/>
      <c r="S712" s="897"/>
      <c r="T712" s="897"/>
      <c r="U712" s="897"/>
      <c r="V712" s="897"/>
      <c r="W712" s="897"/>
      <c r="X712" s="897"/>
      <c r="Y712" s="897"/>
    </row>
    <row r="713" spans="1:25">
      <c r="A713" s="896"/>
      <c r="B713" s="896"/>
      <c r="C713" s="896"/>
      <c r="D713" s="896"/>
      <c r="E713" s="896"/>
      <c r="R713" s="897"/>
      <c r="S713" s="897"/>
      <c r="T713" s="897"/>
      <c r="U713" s="897"/>
      <c r="V713" s="897"/>
      <c r="W713" s="897"/>
      <c r="X713" s="897"/>
      <c r="Y713" s="897"/>
    </row>
    <row r="714" spans="1:25">
      <c r="A714" s="896"/>
      <c r="B714" s="896"/>
      <c r="C714" s="896"/>
      <c r="D714" s="896"/>
      <c r="E714" s="896"/>
      <c r="R714" s="897"/>
      <c r="S714" s="897"/>
      <c r="T714" s="897"/>
      <c r="U714" s="897"/>
      <c r="V714" s="897"/>
      <c r="W714" s="897"/>
      <c r="X714" s="897"/>
      <c r="Y714" s="897"/>
    </row>
    <row r="715" spans="1:25">
      <c r="A715" s="896"/>
      <c r="B715" s="896"/>
      <c r="C715" s="896"/>
      <c r="D715" s="896"/>
      <c r="E715" s="896"/>
      <c r="R715" s="897"/>
      <c r="S715" s="897"/>
      <c r="T715" s="897"/>
      <c r="U715" s="897"/>
      <c r="V715" s="897"/>
      <c r="W715" s="897"/>
      <c r="X715" s="897"/>
      <c r="Y715" s="897"/>
    </row>
    <row r="716" spans="1:25">
      <c r="A716" s="896"/>
      <c r="B716" s="896"/>
      <c r="C716" s="896"/>
      <c r="D716" s="896"/>
      <c r="E716" s="896"/>
      <c r="R716" s="897"/>
      <c r="S716" s="897"/>
      <c r="T716" s="897"/>
      <c r="U716" s="897"/>
      <c r="V716" s="897"/>
      <c r="W716" s="897"/>
      <c r="X716" s="897"/>
      <c r="Y716" s="897"/>
    </row>
    <row r="717" spans="1:25">
      <c r="A717" s="896"/>
      <c r="B717" s="896"/>
      <c r="C717" s="896"/>
      <c r="D717" s="896"/>
      <c r="E717" s="896"/>
      <c r="R717" s="897"/>
      <c r="S717" s="897"/>
      <c r="T717" s="897"/>
      <c r="U717" s="897"/>
      <c r="V717" s="897"/>
      <c r="W717" s="897"/>
      <c r="X717" s="897"/>
      <c r="Y717" s="897"/>
    </row>
    <row r="718" spans="1:25">
      <c r="A718" s="896"/>
      <c r="B718" s="896"/>
      <c r="C718" s="896"/>
      <c r="D718" s="896"/>
      <c r="E718" s="896"/>
      <c r="R718" s="897"/>
      <c r="S718" s="897"/>
      <c r="T718" s="897"/>
      <c r="U718" s="897"/>
      <c r="V718" s="897"/>
      <c r="W718" s="897"/>
      <c r="X718" s="897"/>
      <c r="Y718" s="897"/>
    </row>
    <row r="719" spans="1:25">
      <c r="A719" s="896"/>
      <c r="B719" s="896"/>
      <c r="C719" s="896"/>
      <c r="D719" s="896"/>
      <c r="E719" s="896"/>
      <c r="R719" s="897"/>
      <c r="S719" s="897"/>
      <c r="T719" s="897"/>
      <c r="U719" s="897"/>
      <c r="V719" s="897"/>
      <c r="W719" s="897"/>
      <c r="X719" s="897"/>
      <c r="Y719" s="897"/>
    </row>
    <row r="720" spans="1:25">
      <c r="A720" s="896"/>
      <c r="B720" s="896"/>
      <c r="C720" s="896"/>
      <c r="D720" s="896"/>
      <c r="E720" s="896"/>
      <c r="R720" s="897"/>
      <c r="S720" s="897"/>
      <c r="T720" s="897"/>
      <c r="U720" s="897"/>
      <c r="V720" s="897"/>
      <c r="W720" s="897"/>
      <c r="X720" s="897"/>
      <c r="Y720" s="897"/>
    </row>
    <row r="721" spans="1:25">
      <c r="A721" s="896"/>
      <c r="B721" s="896"/>
      <c r="C721" s="896"/>
      <c r="D721" s="896"/>
      <c r="E721" s="896"/>
      <c r="R721" s="897"/>
      <c r="S721" s="897"/>
      <c r="T721" s="897"/>
      <c r="U721" s="897"/>
      <c r="V721" s="897"/>
      <c r="W721" s="897"/>
      <c r="X721" s="897"/>
      <c r="Y721" s="897"/>
    </row>
    <row r="722" spans="1:25">
      <c r="A722" s="896"/>
      <c r="B722" s="896"/>
      <c r="C722" s="896"/>
      <c r="D722" s="896"/>
      <c r="E722" s="896"/>
      <c r="R722" s="897"/>
      <c r="S722" s="897"/>
      <c r="T722" s="897"/>
      <c r="U722" s="897"/>
      <c r="V722" s="897"/>
      <c r="W722" s="897"/>
      <c r="X722" s="897"/>
      <c r="Y722" s="897"/>
    </row>
    <row r="723" spans="1:25">
      <c r="A723" s="896"/>
      <c r="B723" s="896"/>
      <c r="C723" s="896"/>
      <c r="D723" s="896"/>
      <c r="E723" s="896"/>
      <c r="R723" s="897"/>
      <c r="S723" s="897"/>
      <c r="T723" s="897"/>
      <c r="U723" s="897"/>
      <c r="V723" s="897"/>
      <c r="W723" s="897"/>
      <c r="X723" s="897"/>
      <c r="Y723" s="897"/>
    </row>
    <row r="724" spans="1:25">
      <c r="A724" s="896"/>
      <c r="B724" s="896"/>
      <c r="C724" s="896"/>
      <c r="D724" s="896"/>
      <c r="E724" s="896"/>
      <c r="R724" s="897"/>
      <c r="S724" s="897"/>
      <c r="T724" s="897"/>
      <c r="U724" s="897"/>
      <c r="V724" s="897"/>
      <c r="W724" s="897"/>
      <c r="X724" s="897"/>
      <c r="Y724" s="897"/>
    </row>
    <row r="725" spans="1:25">
      <c r="A725" s="896"/>
      <c r="B725" s="896"/>
      <c r="C725" s="896"/>
      <c r="D725" s="896"/>
      <c r="E725" s="896"/>
      <c r="R725" s="897"/>
      <c r="S725" s="897"/>
      <c r="T725" s="897"/>
      <c r="U725" s="897"/>
      <c r="V725" s="897"/>
      <c r="W725" s="897"/>
      <c r="X725" s="897"/>
      <c r="Y725" s="897"/>
    </row>
    <row r="726" spans="1:25">
      <c r="A726" s="896"/>
      <c r="B726" s="896"/>
      <c r="C726" s="896"/>
      <c r="D726" s="896"/>
      <c r="E726" s="896"/>
      <c r="R726" s="897"/>
      <c r="S726" s="897"/>
      <c r="T726" s="897"/>
      <c r="U726" s="897"/>
      <c r="V726" s="897"/>
      <c r="W726" s="897"/>
      <c r="X726" s="897"/>
      <c r="Y726" s="897"/>
    </row>
    <row r="727" spans="1:25">
      <c r="A727" s="896"/>
      <c r="B727" s="896"/>
      <c r="C727" s="896"/>
      <c r="D727" s="896"/>
      <c r="E727" s="896"/>
      <c r="R727" s="897"/>
      <c r="S727" s="897"/>
      <c r="T727" s="897"/>
      <c r="U727" s="897"/>
      <c r="V727" s="897"/>
      <c r="W727" s="897"/>
      <c r="X727" s="897"/>
      <c r="Y727" s="897"/>
    </row>
    <row r="728" spans="1:25">
      <c r="A728" s="896"/>
      <c r="B728" s="896"/>
      <c r="C728" s="896"/>
      <c r="D728" s="896"/>
      <c r="E728" s="896"/>
      <c r="R728" s="897"/>
      <c r="S728" s="897"/>
      <c r="T728" s="897"/>
      <c r="U728" s="897"/>
      <c r="V728" s="897"/>
      <c r="W728" s="897"/>
      <c r="X728" s="897"/>
      <c r="Y728" s="897"/>
    </row>
    <row r="729" spans="1:25">
      <c r="A729" s="896"/>
      <c r="B729" s="896"/>
      <c r="C729" s="896"/>
      <c r="D729" s="896"/>
      <c r="E729" s="896"/>
      <c r="R729" s="897"/>
      <c r="S729" s="897"/>
      <c r="T729" s="897"/>
      <c r="U729" s="897"/>
      <c r="V729" s="897"/>
      <c r="W729" s="897"/>
      <c r="X729" s="897"/>
      <c r="Y729" s="897"/>
    </row>
    <row r="730" spans="1:25">
      <c r="A730" s="896"/>
      <c r="B730" s="896"/>
      <c r="C730" s="896"/>
      <c r="D730" s="896"/>
      <c r="E730" s="896"/>
      <c r="R730" s="897"/>
      <c r="S730" s="897"/>
      <c r="T730" s="897"/>
      <c r="U730" s="897"/>
      <c r="V730" s="897"/>
      <c r="W730" s="897"/>
      <c r="X730" s="897"/>
      <c r="Y730" s="897"/>
    </row>
    <row r="731" spans="1:25">
      <c r="A731" s="896"/>
      <c r="B731" s="896"/>
      <c r="C731" s="896"/>
      <c r="D731" s="896"/>
      <c r="E731" s="896"/>
      <c r="R731" s="897"/>
      <c r="S731" s="897"/>
      <c r="T731" s="897"/>
      <c r="U731" s="897"/>
      <c r="V731" s="897"/>
      <c r="W731" s="897"/>
      <c r="X731" s="897"/>
      <c r="Y731" s="897"/>
    </row>
    <row r="732" spans="1:25">
      <c r="A732" s="896"/>
      <c r="B732" s="896"/>
      <c r="C732" s="896"/>
      <c r="D732" s="896"/>
      <c r="E732" s="896"/>
      <c r="R732" s="897"/>
      <c r="S732" s="897"/>
      <c r="T732" s="897"/>
      <c r="U732" s="897"/>
      <c r="V732" s="897"/>
      <c r="W732" s="897"/>
      <c r="X732" s="897"/>
      <c r="Y732" s="897"/>
    </row>
    <row r="733" spans="1:25">
      <c r="A733" s="896"/>
      <c r="B733" s="896"/>
      <c r="C733" s="896"/>
      <c r="D733" s="896"/>
      <c r="E733" s="896"/>
      <c r="R733" s="897"/>
      <c r="S733" s="897"/>
      <c r="T733" s="897"/>
      <c r="U733" s="897"/>
      <c r="V733" s="897"/>
      <c r="W733" s="897"/>
      <c r="X733" s="897"/>
      <c r="Y733" s="897"/>
    </row>
    <row r="734" spans="1:25">
      <c r="A734" s="896"/>
      <c r="B734" s="896"/>
      <c r="C734" s="896"/>
      <c r="D734" s="896"/>
      <c r="E734" s="896"/>
      <c r="R734" s="897"/>
      <c r="S734" s="897"/>
      <c r="T734" s="897"/>
      <c r="U734" s="897"/>
      <c r="V734" s="897"/>
      <c r="W734" s="897"/>
      <c r="X734" s="897"/>
      <c r="Y734" s="897"/>
    </row>
    <row r="735" spans="1:25">
      <c r="A735" s="896"/>
      <c r="B735" s="896"/>
      <c r="C735" s="896"/>
      <c r="D735" s="896"/>
      <c r="E735" s="896"/>
      <c r="R735" s="897"/>
      <c r="S735" s="897"/>
      <c r="T735" s="897"/>
      <c r="U735" s="897"/>
      <c r="V735" s="897"/>
      <c r="W735" s="897"/>
      <c r="X735" s="897"/>
      <c r="Y735" s="897"/>
    </row>
    <row r="736" spans="1:25">
      <c r="A736" s="896"/>
      <c r="B736" s="896"/>
      <c r="C736" s="896"/>
      <c r="D736" s="896"/>
      <c r="E736" s="896"/>
      <c r="R736" s="897"/>
      <c r="S736" s="897"/>
      <c r="T736" s="897"/>
      <c r="U736" s="897"/>
      <c r="V736" s="897"/>
      <c r="W736" s="897"/>
      <c r="X736" s="897"/>
      <c r="Y736" s="897"/>
    </row>
    <row r="737" spans="1:25">
      <c r="A737" s="896"/>
      <c r="B737" s="896"/>
      <c r="C737" s="896"/>
      <c r="D737" s="896"/>
      <c r="E737" s="896"/>
      <c r="R737" s="897"/>
      <c r="S737" s="897"/>
      <c r="T737" s="897"/>
      <c r="U737" s="897"/>
      <c r="V737" s="897"/>
      <c r="W737" s="897"/>
      <c r="X737" s="897"/>
      <c r="Y737" s="897"/>
    </row>
    <row r="738" spans="1:25">
      <c r="A738" s="896"/>
      <c r="B738" s="896"/>
      <c r="C738" s="896"/>
      <c r="D738" s="896"/>
      <c r="E738" s="896"/>
      <c r="R738" s="897"/>
      <c r="S738" s="897"/>
      <c r="T738" s="897"/>
      <c r="U738" s="897"/>
      <c r="V738" s="897"/>
      <c r="W738" s="897"/>
      <c r="X738" s="897"/>
      <c r="Y738" s="897"/>
    </row>
    <row r="739" spans="1:25">
      <c r="A739" s="896"/>
      <c r="B739" s="896"/>
      <c r="C739" s="896"/>
      <c r="D739" s="896"/>
      <c r="E739" s="896"/>
      <c r="R739" s="897"/>
      <c r="S739" s="897"/>
      <c r="T739" s="897"/>
      <c r="U739" s="897"/>
      <c r="V739" s="897"/>
      <c r="W739" s="897"/>
      <c r="X739" s="897"/>
      <c r="Y739" s="897"/>
    </row>
    <row r="740" spans="1:25">
      <c r="A740" s="896"/>
      <c r="B740" s="896"/>
      <c r="C740" s="896"/>
      <c r="D740" s="896"/>
      <c r="E740" s="896"/>
      <c r="R740" s="897"/>
      <c r="S740" s="897"/>
      <c r="T740" s="897"/>
      <c r="U740" s="897"/>
      <c r="V740" s="897"/>
      <c r="W740" s="897"/>
      <c r="X740" s="897"/>
      <c r="Y740" s="897"/>
    </row>
    <row r="741" spans="1:25">
      <c r="A741" s="896"/>
      <c r="B741" s="896"/>
      <c r="C741" s="896"/>
      <c r="D741" s="896"/>
      <c r="E741" s="896"/>
      <c r="R741" s="897"/>
      <c r="S741" s="897"/>
      <c r="T741" s="897"/>
      <c r="U741" s="897"/>
      <c r="V741" s="897"/>
      <c r="W741" s="897"/>
      <c r="X741" s="897"/>
      <c r="Y741" s="897"/>
    </row>
    <row r="742" spans="1:25">
      <c r="A742" s="896"/>
      <c r="B742" s="896"/>
      <c r="C742" s="896"/>
      <c r="D742" s="896"/>
      <c r="E742" s="896"/>
      <c r="R742" s="897"/>
      <c r="S742" s="897"/>
      <c r="T742" s="897"/>
      <c r="U742" s="897"/>
      <c r="V742" s="897"/>
      <c r="W742" s="897"/>
      <c r="X742" s="897"/>
      <c r="Y742" s="897"/>
    </row>
    <row r="743" spans="1:25">
      <c r="A743" s="896"/>
      <c r="B743" s="896"/>
      <c r="C743" s="896"/>
      <c r="D743" s="896"/>
      <c r="E743" s="896"/>
      <c r="R743" s="897"/>
      <c r="S743" s="897"/>
      <c r="T743" s="897"/>
      <c r="U743" s="897"/>
      <c r="V743" s="897"/>
      <c r="W743" s="897"/>
      <c r="X743" s="897"/>
      <c r="Y743" s="897"/>
    </row>
    <row r="744" spans="1:25">
      <c r="A744" s="896"/>
      <c r="B744" s="896"/>
      <c r="C744" s="896"/>
      <c r="D744" s="896"/>
      <c r="E744" s="896"/>
      <c r="R744" s="897"/>
      <c r="S744" s="897"/>
      <c r="T744" s="897"/>
      <c r="U744" s="897"/>
      <c r="V744" s="897"/>
      <c r="W744" s="897"/>
      <c r="X744" s="897"/>
      <c r="Y744" s="897"/>
    </row>
    <row r="745" spans="1:25">
      <c r="A745" s="896"/>
      <c r="B745" s="896"/>
      <c r="C745" s="896"/>
      <c r="D745" s="896"/>
      <c r="E745" s="896"/>
      <c r="R745" s="897"/>
      <c r="S745" s="897"/>
      <c r="T745" s="897"/>
      <c r="U745" s="897"/>
      <c r="V745" s="897"/>
      <c r="W745" s="897"/>
      <c r="X745" s="897"/>
      <c r="Y745" s="897"/>
    </row>
    <row r="746" spans="1:25">
      <c r="A746" s="896"/>
      <c r="B746" s="896"/>
      <c r="C746" s="896"/>
      <c r="D746" s="896"/>
      <c r="E746" s="896"/>
      <c r="R746" s="897"/>
      <c r="S746" s="897"/>
      <c r="T746" s="897"/>
      <c r="U746" s="897"/>
      <c r="V746" s="897"/>
      <c r="W746" s="897"/>
      <c r="X746" s="897"/>
      <c r="Y746" s="897"/>
    </row>
    <row r="747" spans="1:25">
      <c r="A747" s="896"/>
      <c r="B747" s="896"/>
      <c r="C747" s="896"/>
      <c r="D747" s="896"/>
      <c r="E747" s="896"/>
      <c r="R747" s="897"/>
      <c r="S747" s="897"/>
      <c r="T747" s="897"/>
      <c r="U747" s="897"/>
      <c r="V747" s="897"/>
      <c r="W747" s="897"/>
      <c r="X747" s="897"/>
      <c r="Y747" s="897"/>
    </row>
    <row r="748" spans="1:25">
      <c r="A748" s="896"/>
      <c r="B748" s="896"/>
      <c r="C748" s="896"/>
      <c r="D748" s="896"/>
      <c r="E748" s="896"/>
      <c r="R748" s="897"/>
      <c r="S748" s="897"/>
      <c r="T748" s="897"/>
      <c r="U748" s="897"/>
      <c r="V748" s="897"/>
      <c r="W748" s="897"/>
      <c r="X748" s="897"/>
      <c r="Y748" s="897"/>
    </row>
    <row r="749" spans="1:25">
      <c r="A749" s="896"/>
      <c r="B749" s="896"/>
      <c r="C749" s="896"/>
      <c r="D749" s="896"/>
      <c r="E749" s="896"/>
      <c r="R749" s="897"/>
      <c r="S749" s="897"/>
      <c r="T749" s="897"/>
      <c r="U749" s="897"/>
      <c r="V749" s="897"/>
      <c r="W749" s="897"/>
      <c r="X749" s="897"/>
      <c r="Y749" s="897"/>
    </row>
    <row r="750" spans="1:25">
      <c r="A750" s="896"/>
      <c r="B750" s="896"/>
      <c r="C750" s="896"/>
      <c r="D750" s="896"/>
      <c r="E750" s="896"/>
      <c r="R750" s="897"/>
      <c r="S750" s="897"/>
      <c r="T750" s="897"/>
      <c r="U750" s="897"/>
      <c r="V750" s="897"/>
      <c r="W750" s="897"/>
      <c r="X750" s="897"/>
      <c r="Y750" s="897"/>
    </row>
    <row r="751" spans="1:25">
      <c r="A751" s="896"/>
      <c r="B751" s="896"/>
      <c r="C751" s="896"/>
      <c r="D751" s="896"/>
      <c r="E751" s="896"/>
      <c r="R751" s="897"/>
      <c r="S751" s="897"/>
      <c r="T751" s="897"/>
      <c r="U751" s="897"/>
      <c r="V751" s="897"/>
      <c r="W751" s="897"/>
      <c r="X751" s="897"/>
      <c r="Y751" s="897"/>
    </row>
    <row r="752" spans="1:25">
      <c r="A752" s="896"/>
      <c r="B752" s="896"/>
      <c r="C752" s="896"/>
      <c r="D752" s="896"/>
      <c r="E752" s="896"/>
      <c r="R752" s="897"/>
      <c r="S752" s="897"/>
      <c r="T752" s="897"/>
      <c r="U752" s="897"/>
      <c r="V752" s="897"/>
      <c r="W752" s="897"/>
      <c r="X752" s="897"/>
      <c r="Y752" s="897"/>
    </row>
    <row r="753" spans="1:25">
      <c r="A753" s="896"/>
      <c r="B753" s="896"/>
      <c r="C753" s="896"/>
      <c r="D753" s="896"/>
      <c r="E753" s="896"/>
      <c r="R753" s="897"/>
      <c r="S753" s="897"/>
      <c r="T753" s="897"/>
      <c r="U753" s="897"/>
      <c r="V753" s="897"/>
      <c r="W753" s="897"/>
      <c r="X753" s="897"/>
      <c r="Y753" s="897"/>
    </row>
    <row r="754" spans="1:25">
      <c r="A754" s="896"/>
      <c r="B754" s="896"/>
      <c r="C754" s="896"/>
      <c r="D754" s="896"/>
      <c r="E754" s="896"/>
      <c r="R754" s="897"/>
      <c r="S754" s="897"/>
      <c r="T754" s="897"/>
      <c r="U754" s="897"/>
      <c r="V754" s="897"/>
      <c r="W754" s="897"/>
      <c r="X754" s="897"/>
      <c r="Y754" s="897"/>
    </row>
    <row r="755" spans="1:25">
      <c r="A755" s="896"/>
      <c r="B755" s="896"/>
      <c r="C755" s="896"/>
      <c r="D755" s="896"/>
      <c r="E755" s="896"/>
      <c r="R755" s="897"/>
      <c r="S755" s="897"/>
      <c r="T755" s="897"/>
      <c r="U755" s="897"/>
      <c r="V755" s="897"/>
      <c r="W755" s="897"/>
      <c r="X755" s="897"/>
      <c r="Y755" s="897"/>
    </row>
    <row r="756" spans="1:25">
      <c r="A756" s="896"/>
      <c r="B756" s="896"/>
      <c r="C756" s="896"/>
      <c r="D756" s="896"/>
      <c r="E756" s="896"/>
      <c r="R756" s="897"/>
      <c r="S756" s="897"/>
      <c r="T756" s="897"/>
      <c r="U756" s="897"/>
      <c r="V756" s="897"/>
      <c r="W756" s="897"/>
      <c r="X756" s="897"/>
      <c r="Y756" s="897"/>
    </row>
    <row r="757" spans="1:25">
      <c r="A757" s="896"/>
      <c r="B757" s="896"/>
      <c r="C757" s="896"/>
      <c r="D757" s="896"/>
      <c r="E757" s="896"/>
      <c r="R757" s="897"/>
      <c r="S757" s="897"/>
      <c r="T757" s="897"/>
      <c r="U757" s="897"/>
      <c r="V757" s="897"/>
      <c r="W757" s="897"/>
      <c r="X757" s="897"/>
      <c r="Y757" s="897"/>
    </row>
    <row r="758" spans="1:25">
      <c r="A758" s="896"/>
      <c r="B758" s="896"/>
      <c r="C758" s="896"/>
      <c r="D758" s="896"/>
      <c r="E758" s="896"/>
      <c r="R758" s="897"/>
      <c r="S758" s="897"/>
      <c r="T758" s="897"/>
      <c r="U758" s="897"/>
      <c r="V758" s="897"/>
      <c r="W758" s="897"/>
      <c r="X758" s="897"/>
      <c r="Y758" s="897"/>
    </row>
    <row r="759" spans="1:25">
      <c r="A759" s="896"/>
      <c r="B759" s="896"/>
      <c r="C759" s="896"/>
      <c r="D759" s="896"/>
      <c r="E759" s="896"/>
      <c r="R759" s="897"/>
      <c r="S759" s="897"/>
      <c r="T759" s="897"/>
      <c r="U759" s="897"/>
      <c r="V759" s="897"/>
      <c r="W759" s="897"/>
      <c r="X759" s="897"/>
      <c r="Y759" s="897"/>
    </row>
    <row r="760" spans="1:25">
      <c r="A760" s="896"/>
      <c r="B760" s="896"/>
      <c r="C760" s="896"/>
      <c r="D760" s="896"/>
      <c r="E760" s="896"/>
      <c r="R760" s="897"/>
      <c r="S760" s="897"/>
      <c r="T760" s="897"/>
      <c r="U760" s="897"/>
      <c r="V760" s="897"/>
      <c r="W760" s="897"/>
      <c r="X760" s="897"/>
      <c r="Y760" s="897"/>
    </row>
    <row r="761" spans="1:25">
      <c r="A761" s="896"/>
      <c r="B761" s="896"/>
      <c r="C761" s="896"/>
      <c r="D761" s="896"/>
      <c r="E761" s="896"/>
      <c r="R761" s="897"/>
      <c r="S761" s="897"/>
      <c r="T761" s="897"/>
      <c r="U761" s="897"/>
      <c r="V761" s="897"/>
      <c r="W761" s="897"/>
      <c r="X761" s="897"/>
      <c r="Y761" s="897"/>
    </row>
    <row r="762" spans="1:25">
      <c r="A762" s="896"/>
      <c r="B762" s="896"/>
      <c r="C762" s="896"/>
      <c r="D762" s="896"/>
      <c r="E762" s="896"/>
      <c r="R762" s="897"/>
      <c r="S762" s="897"/>
      <c r="T762" s="897"/>
      <c r="U762" s="897"/>
      <c r="V762" s="897"/>
      <c r="W762" s="897"/>
      <c r="X762" s="897"/>
      <c r="Y762" s="897"/>
    </row>
    <row r="763" spans="1:25">
      <c r="A763" s="896"/>
      <c r="B763" s="896"/>
      <c r="C763" s="896"/>
      <c r="D763" s="896"/>
      <c r="E763" s="896"/>
      <c r="R763" s="897"/>
      <c r="S763" s="897"/>
      <c r="T763" s="897"/>
      <c r="U763" s="897"/>
      <c r="V763" s="897"/>
      <c r="W763" s="897"/>
      <c r="X763" s="897"/>
      <c r="Y763" s="897"/>
    </row>
    <row r="764" spans="1:25">
      <c r="A764" s="896"/>
      <c r="B764" s="896"/>
      <c r="C764" s="896"/>
      <c r="D764" s="896"/>
      <c r="E764" s="896"/>
      <c r="R764" s="897"/>
      <c r="S764" s="897"/>
      <c r="T764" s="897"/>
      <c r="U764" s="897"/>
      <c r="V764" s="897"/>
      <c r="W764" s="897"/>
      <c r="X764" s="897"/>
      <c r="Y764" s="897"/>
    </row>
    <row r="765" spans="1:25">
      <c r="A765" s="896"/>
      <c r="B765" s="896"/>
      <c r="C765" s="896"/>
      <c r="D765" s="896"/>
      <c r="E765" s="896"/>
      <c r="R765" s="897"/>
      <c r="S765" s="897"/>
      <c r="T765" s="897"/>
      <c r="U765" s="897"/>
      <c r="V765" s="897"/>
      <c r="W765" s="897"/>
      <c r="X765" s="897"/>
      <c r="Y765" s="897"/>
    </row>
    <row r="766" spans="1:25">
      <c r="A766" s="896"/>
      <c r="B766" s="896"/>
      <c r="C766" s="896"/>
      <c r="D766" s="896"/>
      <c r="E766" s="896"/>
      <c r="R766" s="897"/>
      <c r="S766" s="897"/>
      <c r="T766" s="897"/>
      <c r="U766" s="897"/>
      <c r="V766" s="897"/>
      <c r="W766" s="897"/>
      <c r="X766" s="897"/>
      <c r="Y766" s="897"/>
    </row>
    <row r="767" spans="1:25">
      <c r="A767" s="896"/>
      <c r="B767" s="896"/>
      <c r="C767" s="896"/>
      <c r="D767" s="896"/>
      <c r="E767" s="896"/>
      <c r="R767" s="897"/>
      <c r="S767" s="897"/>
      <c r="T767" s="897"/>
      <c r="U767" s="897"/>
      <c r="V767" s="897"/>
      <c r="W767" s="897"/>
      <c r="X767" s="897"/>
      <c r="Y767" s="897"/>
    </row>
    <row r="768" spans="1:25">
      <c r="A768" s="896"/>
      <c r="B768" s="896"/>
      <c r="C768" s="896"/>
      <c r="D768" s="896"/>
      <c r="E768" s="896"/>
      <c r="R768" s="897"/>
      <c r="S768" s="897"/>
      <c r="T768" s="897"/>
      <c r="U768" s="897"/>
      <c r="V768" s="897"/>
      <c r="W768" s="897"/>
      <c r="X768" s="897"/>
      <c r="Y768" s="897"/>
    </row>
    <row r="769" spans="1:25">
      <c r="A769" s="896"/>
      <c r="B769" s="896"/>
      <c r="C769" s="896"/>
      <c r="D769" s="896"/>
      <c r="E769" s="896"/>
      <c r="R769" s="897"/>
      <c r="S769" s="897"/>
      <c r="T769" s="897"/>
      <c r="U769" s="897"/>
      <c r="V769" s="897"/>
      <c r="W769" s="897"/>
      <c r="X769" s="897"/>
      <c r="Y769" s="897"/>
    </row>
    <row r="770" spans="1:25">
      <c r="A770" s="896"/>
      <c r="B770" s="896"/>
      <c r="C770" s="896"/>
      <c r="D770" s="896"/>
      <c r="E770" s="896"/>
      <c r="R770" s="897"/>
      <c r="S770" s="897"/>
      <c r="T770" s="897"/>
      <c r="U770" s="897"/>
      <c r="V770" s="897"/>
      <c r="W770" s="897"/>
      <c r="X770" s="897"/>
      <c r="Y770" s="897"/>
    </row>
    <row r="771" spans="1:25">
      <c r="A771" s="896"/>
      <c r="B771" s="896"/>
      <c r="C771" s="896"/>
      <c r="D771" s="896"/>
      <c r="E771" s="896"/>
      <c r="R771" s="897"/>
      <c r="S771" s="897"/>
      <c r="T771" s="897"/>
      <c r="U771" s="897"/>
      <c r="V771" s="897"/>
      <c r="W771" s="897"/>
      <c r="X771" s="897"/>
      <c r="Y771" s="897"/>
    </row>
    <row r="772" spans="1:25">
      <c r="A772" s="896"/>
      <c r="B772" s="896"/>
      <c r="C772" s="896"/>
      <c r="D772" s="896"/>
      <c r="E772" s="896"/>
      <c r="R772" s="897"/>
      <c r="S772" s="897"/>
      <c r="T772" s="897"/>
      <c r="U772" s="897"/>
      <c r="V772" s="897"/>
      <c r="W772" s="897"/>
      <c r="X772" s="897"/>
      <c r="Y772" s="897"/>
    </row>
    <row r="773" spans="1:25">
      <c r="A773" s="896"/>
      <c r="B773" s="896"/>
      <c r="C773" s="896"/>
      <c r="D773" s="896"/>
      <c r="E773" s="896"/>
      <c r="R773" s="897"/>
      <c r="S773" s="897"/>
      <c r="T773" s="897"/>
      <c r="U773" s="897"/>
      <c r="V773" s="897"/>
      <c r="W773" s="897"/>
      <c r="X773" s="897"/>
      <c r="Y773" s="897"/>
    </row>
    <row r="774" spans="1:25">
      <c r="A774" s="896"/>
      <c r="B774" s="896"/>
      <c r="C774" s="896"/>
      <c r="D774" s="896"/>
      <c r="E774" s="896"/>
      <c r="R774" s="897"/>
      <c r="S774" s="897"/>
      <c r="T774" s="897"/>
      <c r="U774" s="897"/>
      <c r="V774" s="897"/>
      <c r="W774" s="897"/>
      <c r="X774" s="897"/>
      <c r="Y774" s="897"/>
    </row>
    <row r="775" spans="1:25">
      <c r="A775" s="896"/>
      <c r="B775" s="896"/>
      <c r="C775" s="896"/>
      <c r="D775" s="896"/>
      <c r="E775" s="896"/>
      <c r="R775" s="897"/>
      <c r="S775" s="897"/>
      <c r="T775" s="897"/>
      <c r="U775" s="897"/>
      <c r="V775" s="897"/>
      <c r="W775" s="897"/>
      <c r="X775" s="897"/>
      <c r="Y775" s="897"/>
    </row>
    <row r="776" spans="1:25">
      <c r="A776" s="896"/>
      <c r="B776" s="896"/>
      <c r="C776" s="896"/>
      <c r="D776" s="896"/>
      <c r="E776" s="896"/>
      <c r="R776" s="897"/>
      <c r="S776" s="897"/>
      <c r="T776" s="897"/>
      <c r="U776" s="897"/>
      <c r="V776" s="897"/>
      <c r="W776" s="897"/>
      <c r="X776" s="897"/>
      <c r="Y776" s="897"/>
    </row>
    <row r="777" spans="1:25">
      <c r="A777" s="896"/>
      <c r="B777" s="896"/>
      <c r="C777" s="896"/>
      <c r="D777" s="896"/>
      <c r="E777" s="896"/>
      <c r="R777" s="897"/>
      <c r="S777" s="897"/>
      <c r="T777" s="897"/>
      <c r="U777" s="897"/>
      <c r="V777" s="897"/>
      <c r="W777" s="897"/>
      <c r="X777" s="897"/>
      <c r="Y777" s="897"/>
    </row>
    <row r="778" spans="1:25">
      <c r="A778" s="896"/>
      <c r="B778" s="896"/>
      <c r="C778" s="896"/>
      <c r="D778" s="896"/>
      <c r="E778" s="896"/>
      <c r="R778" s="897"/>
      <c r="S778" s="897"/>
      <c r="T778" s="897"/>
      <c r="U778" s="897"/>
      <c r="V778" s="897"/>
      <c r="W778" s="897"/>
      <c r="X778" s="897"/>
      <c r="Y778" s="897"/>
    </row>
    <row r="779" spans="1:25">
      <c r="A779" s="896"/>
      <c r="B779" s="896"/>
      <c r="C779" s="896"/>
      <c r="D779" s="896"/>
      <c r="E779" s="896"/>
      <c r="R779" s="897"/>
      <c r="S779" s="897"/>
      <c r="T779" s="897"/>
      <c r="U779" s="897"/>
      <c r="V779" s="897"/>
      <c r="W779" s="897"/>
      <c r="X779" s="897"/>
      <c r="Y779" s="897"/>
    </row>
    <row r="780" spans="1:25">
      <c r="A780" s="896"/>
      <c r="B780" s="896"/>
      <c r="C780" s="896"/>
      <c r="D780" s="896"/>
      <c r="E780" s="896"/>
      <c r="R780" s="897"/>
      <c r="S780" s="897"/>
      <c r="T780" s="897"/>
      <c r="U780" s="897"/>
      <c r="V780" s="897"/>
      <c r="W780" s="897"/>
      <c r="X780" s="897"/>
      <c r="Y780" s="897"/>
    </row>
    <row r="781" spans="1:25">
      <c r="A781" s="896"/>
      <c r="B781" s="896"/>
      <c r="C781" s="896"/>
      <c r="D781" s="896"/>
      <c r="E781" s="896"/>
      <c r="R781" s="897"/>
      <c r="S781" s="897"/>
      <c r="T781" s="897"/>
      <c r="U781" s="897"/>
      <c r="V781" s="897"/>
      <c r="W781" s="897"/>
      <c r="X781" s="897"/>
      <c r="Y781" s="897"/>
    </row>
    <row r="782" spans="1:25">
      <c r="A782" s="896"/>
      <c r="B782" s="896"/>
      <c r="C782" s="896"/>
      <c r="D782" s="896"/>
      <c r="E782" s="896"/>
      <c r="R782" s="897"/>
      <c r="S782" s="897"/>
      <c r="T782" s="897"/>
      <c r="U782" s="897"/>
      <c r="V782" s="897"/>
      <c r="W782" s="897"/>
      <c r="X782" s="897"/>
      <c r="Y782" s="897"/>
    </row>
    <row r="783" spans="1:25">
      <c r="A783" s="896"/>
      <c r="B783" s="896"/>
      <c r="C783" s="896"/>
      <c r="D783" s="896"/>
      <c r="E783" s="896"/>
      <c r="R783" s="897"/>
      <c r="S783" s="897"/>
      <c r="T783" s="897"/>
      <c r="U783" s="897"/>
      <c r="V783" s="897"/>
      <c r="W783" s="897"/>
      <c r="X783" s="897"/>
      <c r="Y783" s="897"/>
    </row>
    <row r="784" spans="1:25">
      <c r="A784" s="896"/>
      <c r="B784" s="896"/>
      <c r="C784" s="896"/>
      <c r="D784" s="896"/>
      <c r="E784" s="896"/>
      <c r="R784" s="897"/>
      <c r="S784" s="897"/>
      <c r="T784" s="897"/>
      <c r="U784" s="897"/>
      <c r="V784" s="897"/>
      <c r="W784" s="897"/>
      <c r="X784" s="897"/>
      <c r="Y784" s="897"/>
    </row>
    <row r="785" spans="1:25">
      <c r="A785" s="896"/>
      <c r="B785" s="896"/>
      <c r="C785" s="896"/>
      <c r="D785" s="896"/>
      <c r="E785" s="896"/>
      <c r="R785" s="897"/>
      <c r="S785" s="897"/>
      <c r="T785" s="897"/>
      <c r="U785" s="897"/>
      <c r="V785" s="897"/>
      <c r="W785" s="897"/>
      <c r="X785" s="897"/>
      <c r="Y785" s="897"/>
    </row>
    <row r="786" spans="1:25">
      <c r="A786" s="896"/>
      <c r="B786" s="896"/>
      <c r="C786" s="896"/>
      <c r="D786" s="896"/>
      <c r="E786" s="896"/>
      <c r="R786" s="897"/>
      <c r="S786" s="897"/>
      <c r="T786" s="897"/>
      <c r="U786" s="897"/>
      <c r="V786" s="897"/>
      <c r="W786" s="897"/>
      <c r="X786" s="897"/>
      <c r="Y786" s="897"/>
    </row>
    <row r="787" spans="1:25">
      <c r="A787" s="896"/>
      <c r="B787" s="896"/>
      <c r="C787" s="896"/>
      <c r="D787" s="896"/>
      <c r="E787" s="896"/>
      <c r="R787" s="897"/>
      <c r="S787" s="897"/>
      <c r="T787" s="897"/>
      <c r="U787" s="897"/>
      <c r="V787" s="897"/>
      <c r="W787" s="897"/>
      <c r="X787" s="897"/>
      <c r="Y787" s="897"/>
    </row>
    <row r="788" spans="1:25">
      <c r="A788" s="896"/>
      <c r="B788" s="896"/>
      <c r="C788" s="896"/>
      <c r="D788" s="896"/>
      <c r="E788" s="896"/>
      <c r="R788" s="897"/>
      <c r="S788" s="897"/>
      <c r="T788" s="897"/>
      <c r="U788" s="897"/>
      <c r="V788" s="897"/>
      <c r="W788" s="897"/>
      <c r="X788" s="897"/>
      <c r="Y788" s="897"/>
    </row>
    <row r="789" spans="1:25">
      <c r="A789" s="896"/>
      <c r="B789" s="896"/>
      <c r="C789" s="896"/>
      <c r="D789" s="896"/>
      <c r="E789" s="896"/>
      <c r="R789" s="897"/>
      <c r="S789" s="897"/>
      <c r="T789" s="897"/>
      <c r="U789" s="897"/>
      <c r="V789" s="897"/>
      <c r="W789" s="897"/>
      <c r="X789" s="897"/>
      <c r="Y789" s="897"/>
    </row>
    <row r="790" spans="1:25">
      <c r="A790" s="896"/>
      <c r="B790" s="896"/>
      <c r="C790" s="896"/>
      <c r="D790" s="896"/>
      <c r="E790" s="896"/>
      <c r="R790" s="897"/>
      <c r="S790" s="897"/>
      <c r="T790" s="897"/>
      <c r="U790" s="897"/>
      <c r="V790" s="897"/>
      <c r="W790" s="897"/>
      <c r="X790" s="897"/>
      <c r="Y790" s="897"/>
    </row>
    <row r="791" spans="1:25">
      <c r="A791" s="896"/>
      <c r="B791" s="896"/>
      <c r="C791" s="896"/>
      <c r="D791" s="896"/>
      <c r="E791" s="896"/>
      <c r="R791" s="897"/>
      <c r="S791" s="897"/>
      <c r="T791" s="897"/>
      <c r="U791" s="897"/>
      <c r="V791" s="897"/>
      <c r="W791" s="897"/>
      <c r="X791" s="897"/>
      <c r="Y791" s="897"/>
    </row>
    <row r="792" spans="1:25">
      <c r="A792" s="896"/>
      <c r="B792" s="896"/>
      <c r="C792" s="896"/>
      <c r="D792" s="896"/>
      <c r="E792" s="896"/>
      <c r="R792" s="897"/>
      <c r="S792" s="897"/>
      <c r="T792" s="897"/>
      <c r="U792" s="897"/>
      <c r="V792" s="897"/>
      <c r="W792" s="897"/>
      <c r="X792" s="897"/>
      <c r="Y792" s="897"/>
    </row>
    <row r="793" spans="1:25">
      <c r="A793" s="896"/>
      <c r="B793" s="896"/>
      <c r="C793" s="896"/>
      <c r="D793" s="896"/>
      <c r="E793" s="896"/>
      <c r="R793" s="897"/>
      <c r="S793" s="897"/>
      <c r="T793" s="897"/>
      <c r="U793" s="897"/>
      <c r="V793" s="897"/>
      <c r="W793" s="897"/>
      <c r="X793" s="897"/>
      <c r="Y793" s="897"/>
    </row>
    <row r="794" spans="1:25">
      <c r="A794" s="896"/>
      <c r="B794" s="896"/>
      <c r="C794" s="896"/>
      <c r="D794" s="896"/>
      <c r="E794" s="896"/>
      <c r="R794" s="897"/>
      <c r="S794" s="897"/>
      <c r="T794" s="897"/>
      <c r="U794" s="897"/>
      <c r="V794" s="897"/>
      <c r="W794" s="897"/>
      <c r="X794" s="897"/>
      <c r="Y794" s="897"/>
    </row>
    <row r="795" spans="1:25">
      <c r="A795" s="896"/>
      <c r="B795" s="896"/>
      <c r="C795" s="896"/>
      <c r="D795" s="896"/>
      <c r="E795" s="896"/>
      <c r="R795" s="897"/>
      <c r="S795" s="897"/>
      <c r="T795" s="897"/>
      <c r="U795" s="897"/>
      <c r="V795" s="897"/>
      <c r="W795" s="897"/>
      <c r="X795" s="897"/>
      <c r="Y795" s="897"/>
    </row>
    <row r="796" spans="1:25">
      <c r="A796" s="896"/>
      <c r="B796" s="896"/>
      <c r="C796" s="896"/>
      <c r="D796" s="896"/>
      <c r="E796" s="896"/>
      <c r="R796" s="897"/>
      <c r="S796" s="897"/>
      <c r="T796" s="897"/>
      <c r="U796" s="897"/>
      <c r="V796" s="897"/>
      <c r="W796" s="897"/>
      <c r="X796" s="897"/>
      <c r="Y796" s="897"/>
    </row>
    <row r="797" spans="1:25">
      <c r="A797" s="896"/>
      <c r="B797" s="896"/>
      <c r="C797" s="896"/>
      <c r="D797" s="896"/>
      <c r="E797" s="896"/>
      <c r="R797" s="897"/>
      <c r="S797" s="897"/>
      <c r="T797" s="897"/>
      <c r="U797" s="897"/>
      <c r="V797" s="897"/>
      <c r="W797" s="897"/>
      <c r="X797" s="897"/>
      <c r="Y797" s="897"/>
    </row>
    <row r="798" spans="1:25">
      <c r="A798" s="896"/>
      <c r="B798" s="896"/>
      <c r="C798" s="896"/>
      <c r="D798" s="896"/>
      <c r="E798" s="896"/>
      <c r="R798" s="897"/>
      <c r="S798" s="897"/>
      <c r="T798" s="897"/>
      <c r="U798" s="897"/>
      <c r="V798" s="897"/>
      <c r="W798" s="897"/>
      <c r="X798" s="897"/>
      <c r="Y798" s="897"/>
    </row>
    <row r="799" spans="1:25">
      <c r="A799" s="896"/>
      <c r="B799" s="896"/>
      <c r="C799" s="896"/>
      <c r="D799" s="896"/>
      <c r="E799" s="896"/>
      <c r="R799" s="897"/>
      <c r="S799" s="897"/>
      <c r="T799" s="897"/>
      <c r="U799" s="897"/>
      <c r="V799" s="897"/>
      <c r="W799" s="897"/>
      <c r="X799" s="897"/>
      <c r="Y799" s="897"/>
    </row>
    <row r="800" spans="1:25">
      <c r="A800" s="896"/>
      <c r="B800" s="896"/>
      <c r="C800" s="896"/>
      <c r="D800" s="896"/>
      <c r="E800" s="896"/>
      <c r="R800" s="897"/>
      <c r="S800" s="897"/>
      <c r="T800" s="897"/>
      <c r="U800" s="897"/>
      <c r="V800" s="897"/>
      <c r="W800" s="897"/>
      <c r="X800" s="897"/>
      <c r="Y800" s="897"/>
    </row>
    <row r="801" spans="1:25">
      <c r="A801" s="896"/>
      <c r="B801" s="896"/>
      <c r="C801" s="896"/>
      <c r="D801" s="896"/>
      <c r="E801" s="896"/>
      <c r="R801" s="897"/>
      <c r="S801" s="897"/>
      <c r="T801" s="897"/>
      <c r="U801" s="897"/>
      <c r="V801" s="897"/>
      <c r="W801" s="897"/>
      <c r="X801" s="897"/>
      <c r="Y801" s="897"/>
    </row>
    <row r="802" spans="1:25">
      <c r="A802" s="896"/>
      <c r="B802" s="896"/>
      <c r="C802" s="896"/>
      <c r="D802" s="896"/>
      <c r="E802" s="896"/>
      <c r="R802" s="897"/>
      <c r="S802" s="897"/>
      <c r="T802" s="897"/>
      <c r="U802" s="897"/>
      <c r="V802" s="897"/>
      <c r="W802" s="897"/>
      <c r="X802" s="897"/>
      <c r="Y802" s="897"/>
    </row>
    <row r="803" spans="1:25">
      <c r="A803" s="896"/>
      <c r="B803" s="896"/>
      <c r="C803" s="896"/>
      <c r="D803" s="896"/>
      <c r="E803" s="896"/>
      <c r="R803" s="897"/>
      <c r="S803" s="897"/>
      <c r="T803" s="897"/>
      <c r="U803" s="897"/>
      <c r="V803" s="897"/>
      <c r="W803" s="897"/>
      <c r="X803" s="897"/>
      <c r="Y803" s="897"/>
    </row>
    <row r="804" spans="1:25">
      <c r="A804" s="896"/>
      <c r="B804" s="896"/>
      <c r="C804" s="896"/>
      <c r="D804" s="896"/>
      <c r="E804" s="896"/>
      <c r="R804" s="897"/>
      <c r="S804" s="897"/>
      <c r="T804" s="897"/>
      <c r="U804" s="897"/>
      <c r="V804" s="897"/>
      <c r="W804" s="897"/>
      <c r="X804" s="897"/>
      <c r="Y804" s="897"/>
    </row>
    <row r="805" spans="1:25">
      <c r="A805" s="896"/>
      <c r="B805" s="896"/>
      <c r="C805" s="896"/>
      <c r="D805" s="896"/>
      <c r="E805" s="896"/>
      <c r="R805" s="897"/>
      <c r="S805" s="897"/>
      <c r="T805" s="897"/>
      <c r="U805" s="897"/>
      <c r="V805" s="897"/>
      <c r="W805" s="897"/>
      <c r="X805" s="897"/>
      <c r="Y805" s="897"/>
    </row>
    <row r="806" spans="1:25">
      <c r="A806" s="896"/>
      <c r="B806" s="896"/>
      <c r="C806" s="896"/>
      <c r="D806" s="896"/>
      <c r="E806" s="896"/>
      <c r="R806" s="897"/>
      <c r="S806" s="897"/>
      <c r="T806" s="897"/>
      <c r="U806" s="897"/>
      <c r="V806" s="897"/>
      <c r="W806" s="897"/>
      <c r="X806" s="897"/>
      <c r="Y806" s="897"/>
    </row>
    <row r="807" spans="1:25">
      <c r="A807" s="896"/>
      <c r="B807" s="896"/>
      <c r="C807" s="896"/>
      <c r="D807" s="896"/>
      <c r="E807" s="896"/>
      <c r="R807" s="897"/>
      <c r="S807" s="897"/>
      <c r="T807" s="897"/>
      <c r="U807" s="897"/>
      <c r="V807" s="897"/>
      <c r="W807" s="897"/>
      <c r="X807" s="897"/>
      <c r="Y807" s="897"/>
    </row>
    <row r="808" spans="1:25">
      <c r="A808" s="896"/>
      <c r="B808" s="896"/>
      <c r="C808" s="896"/>
      <c r="D808" s="896"/>
      <c r="E808" s="896"/>
      <c r="R808" s="897"/>
      <c r="S808" s="897"/>
      <c r="T808" s="897"/>
      <c r="U808" s="897"/>
      <c r="V808" s="897"/>
      <c r="W808" s="897"/>
      <c r="X808" s="897"/>
      <c r="Y808" s="897"/>
    </row>
    <row r="809" spans="1:25">
      <c r="A809" s="896"/>
      <c r="B809" s="896"/>
      <c r="C809" s="896"/>
      <c r="D809" s="896"/>
      <c r="E809" s="896"/>
      <c r="R809" s="897"/>
      <c r="S809" s="897"/>
      <c r="T809" s="897"/>
      <c r="U809" s="897"/>
      <c r="V809" s="897"/>
      <c r="W809" s="897"/>
      <c r="X809" s="897"/>
      <c r="Y809" s="897"/>
    </row>
    <row r="810" spans="1:25">
      <c r="A810" s="896"/>
      <c r="B810" s="896"/>
      <c r="C810" s="896"/>
      <c r="D810" s="896"/>
      <c r="E810" s="896"/>
      <c r="R810" s="897"/>
      <c r="S810" s="897"/>
      <c r="T810" s="897"/>
      <c r="U810" s="897"/>
      <c r="V810" s="897"/>
      <c r="W810" s="897"/>
      <c r="X810" s="897"/>
      <c r="Y810" s="897"/>
    </row>
    <row r="811" spans="1:25">
      <c r="A811" s="896"/>
      <c r="B811" s="896"/>
      <c r="C811" s="896"/>
      <c r="D811" s="896"/>
      <c r="E811" s="896"/>
      <c r="R811" s="897"/>
      <c r="S811" s="897"/>
      <c r="T811" s="897"/>
      <c r="U811" s="897"/>
      <c r="V811" s="897"/>
      <c r="W811" s="897"/>
      <c r="X811" s="897"/>
      <c r="Y811" s="897"/>
    </row>
    <row r="812" spans="1:25">
      <c r="A812" s="896"/>
      <c r="B812" s="896"/>
      <c r="C812" s="896"/>
      <c r="D812" s="896"/>
      <c r="E812" s="896"/>
      <c r="R812" s="897"/>
      <c r="S812" s="897"/>
      <c r="T812" s="897"/>
      <c r="U812" s="897"/>
      <c r="V812" s="897"/>
      <c r="W812" s="897"/>
      <c r="X812" s="897"/>
      <c r="Y812" s="897"/>
    </row>
    <row r="813" spans="1:25">
      <c r="A813" s="896"/>
      <c r="B813" s="896"/>
      <c r="C813" s="896"/>
      <c r="D813" s="896"/>
      <c r="E813" s="896"/>
      <c r="R813" s="897"/>
      <c r="S813" s="897"/>
      <c r="T813" s="897"/>
      <c r="U813" s="897"/>
      <c r="V813" s="897"/>
      <c r="W813" s="897"/>
      <c r="X813" s="897"/>
      <c r="Y813" s="897"/>
    </row>
    <row r="814" spans="1:25">
      <c r="A814" s="896"/>
      <c r="B814" s="896"/>
      <c r="C814" s="896"/>
      <c r="D814" s="896"/>
      <c r="E814" s="896"/>
      <c r="R814" s="897"/>
      <c r="S814" s="897"/>
      <c r="T814" s="897"/>
      <c r="U814" s="897"/>
      <c r="V814" s="897"/>
      <c r="W814" s="897"/>
      <c r="X814" s="897"/>
      <c r="Y814" s="897"/>
    </row>
    <row r="815" spans="1:25">
      <c r="A815" s="896"/>
      <c r="B815" s="896"/>
      <c r="C815" s="896"/>
      <c r="D815" s="896"/>
      <c r="E815" s="896"/>
      <c r="R815" s="897"/>
      <c r="S815" s="897"/>
      <c r="T815" s="897"/>
      <c r="U815" s="897"/>
      <c r="V815" s="897"/>
      <c r="W815" s="897"/>
      <c r="X815" s="897"/>
      <c r="Y815" s="897"/>
    </row>
    <row r="816" spans="1:25">
      <c r="A816" s="896"/>
      <c r="B816" s="896"/>
      <c r="C816" s="896"/>
      <c r="D816" s="896"/>
      <c r="E816" s="896"/>
      <c r="R816" s="897"/>
      <c r="S816" s="897"/>
      <c r="T816" s="897"/>
      <c r="U816" s="897"/>
      <c r="V816" s="897"/>
      <c r="W816" s="897"/>
      <c r="X816" s="897"/>
      <c r="Y816" s="897"/>
    </row>
    <row r="817" spans="1:25">
      <c r="A817" s="896"/>
      <c r="B817" s="896"/>
      <c r="C817" s="896"/>
      <c r="D817" s="896"/>
      <c r="E817" s="896"/>
      <c r="R817" s="897"/>
      <c r="S817" s="897"/>
      <c r="T817" s="897"/>
      <c r="U817" s="897"/>
      <c r="V817" s="897"/>
      <c r="W817" s="897"/>
      <c r="X817" s="897"/>
      <c r="Y817" s="897"/>
    </row>
    <row r="818" spans="1:25">
      <c r="A818" s="896"/>
      <c r="B818" s="896"/>
      <c r="C818" s="896"/>
      <c r="D818" s="896"/>
      <c r="E818" s="896"/>
      <c r="R818" s="897"/>
      <c r="S818" s="897"/>
      <c r="T818" s="897"/>
      <c r="U818" s="897"/>
      <c r="V818" s="897"/>
      <c r="W818" s="897"/>
      <c r="X818" s="897"/>
      <c r="Y818" s="897"/>
    </row>
    <row r="819" spans="1:25">
      <c r="A819" s="896"/>
      <c r="B819" s="896"/>
      <c r="C819" s="896"/>
      <c r="D819" s="896"/>
      <c r="E819" s="896"/>
      <c r="R819" s="897"/>
      <c r="S819" s="897"/>
      <c r="T819" s="897"/>
      <c r="U819" s="897"/>
      <c r="V819" s="897"/>
      <c r="W819" s="897"/>
      <c r="X819" s="897"/>
      <c r="Y819" s="897"/>
    </row>
    <row r="820" spans="1:25">
      <c r="A820" s="896"/>
      <c r="B820" s="896"/>
      <c r="C820" s="896"/>
      <c r="D820" s="896"/>
      <c r="E820" s="896"/>
      <c r="R820" s="897"/>
      <c r="S820" s="897"/>
      <c r="T820" s="897"/>
      <c r="U820" s="897"/>
      <c r="V820" s="897"/>
      <c r="W820" s="897"/>
      <c r="X820" s="897"/>
      <c r="Y820" s="897"/>
    </row>
    <row r="821" spans="1:25">
      <c r="A821" s="896"/>
      <c r="B821" s="896"/>
      <c r="C821" s="896"/>
      <c r="D821" s="896"/>
      <c r="E821" s="896"/>
      <c r="R821" s="897"/>
      <c r="S821" s="897"/>
      <c r="T821" s="897"/>
      <c r="U821" s="897"/>
      <c r="V821" s="897"/>
      <c r="W821" s="897"/>
      <c r="X821" s="897"/>
      <c r="Y821" s="897"/>
    </row>
    <row r="822" spans="1:25">
      <c r="A822" s="896"/>
      <c r="B822" s="896"/>
      <c r="C822" s="896"/>
      <c r="D822" s="896"/>
      <c r="E822" s="896"/>
      <c r="R822" s="897"/>
      <c r="S822" s="897"/>
      <c r="T822" s="897"/>
      <c r="U822" s="897"/>
      <c r="V822" s="897"/>
      <c r="W822" s="897"/>
      <c r="X822" s="897"/>
      <c r="Y822" s="897"/>
    </row>
    <row r="823" spans="1:25">
      <c r="A823" s="896"/>
      <c r="B823" s="896"/>
      <c r="C823" s="896"/>
      <c r="D823" s="896"/>
      <c r="E823" s="896"/>
      <c r="R823" s="897"/>
      <c r="S823" s="897"/>
      <c r="T823" s="897"/>
      <c r="U823" s="897"/>
      <c r="V823" s="897"/>
      <c r="W823" s="897"/>
      <c r="X823" s="897"/>
      <c r="Y823" s="897"/>
    </row>
    <row r="824" spans="1:25">
      <c r="A824" s="896"/>
      <c r="B824" s="896"/>
      <c r="C824" s="896"/>
      <c r="D824" s="896"/>
      <c r="E824" s="896"/>
      <c r="R824" s="897"/>
      <c r="S824" s="897"/>
      <c r="T824" s="897"/>
      <c r="U824" s="897"/>
      <c r="V824" s="897"/>
      <c r="W824" s="897"/>
      <c r="X824" s="897"/>
      <c r="Y824" s="897"/>
    </row>
    <row r="825" spans="1:25">
      <c r="A825" s="896"/>
      <c r="B825" s="896"/>
      <c r="C825" s="896"/>
      <c r="D825" s="896"/>
      <c r="E825" s="896"/>
      <c r="R825" s="897"/>
      <c r="S825" s="897"/>
      <c r="T825" s="897"/>
      <c r="U825" s="897"/>
      <c r="V825" s="897"/>
      <c r="W825" s="897"/>
      <c r="X825" s="897"/>
      <c r="Y825" s="897"/>
    </row>
    <row r="826" spans="1:25">
      <c r="A826" s="896"/>
      <c r="B826" s="896"/>
      <c r="C826" s="896"/>
      <c r="D826" s="896"/>
      <c r="E826" s="896"/>
      <c r="R826" s="897"/>
      <c r="S826" s="897"/>
      <c r="T826" s="897"/>
      <c r="U826" s="897"/>
      <c r="V826" s="897"/>
      <c r="W826" s="897"/>
      <c r="X826" s="897"/>
      <c r="Y826" s="897"/>
    </row>
    <row r="827" spans="1:25">
      <c r="A827" s="896"/>
      <c r="B827" s="896"/>
      <c r="C827" s="896"/>
      <c r="D827" s="896"/>
      <c r="E827" s="896"/>
      <c r="R827" s="897"/>
      <c r="S827" s="897"/>
      <c r="T827" s="897"/>
      <c r="U827" s="897"/>
      <c r="V827" s="897"/>
      <c r="W827" s="897"/>
      <c r="X827" s="897"/>
      <c r="Y827" s="897"/>
    </row>
    <row r="828" spans="1:25">
      <c r="A828" s="896"/>
      <c r="B828" s="896"/>
      <c r="C828" s="896"/>
      <c r="D828" s="896"/>
      <c r="E828" s="896"/>
      <c r="R828" s="897"/>
      <c r="S828" s="897"/>
      <c r="T828" s="897"/>
      <c r="U828" s="897"/>
      <c r="V828" s="897"/>
      <c r="W828" s="897"/>
      <c r="X828" s="897"/>
      <c r="Y828" s="897"/>
    </row>
    <row r="829" spans="1:25">
      <c r="A829" s="896"/>
      <c r="B829" s="896"/>
      <c r="C829" s="896"/>
      <c r="D829" s="896"/>
      <c r="E829" s="896"/>
      <c r="R829" s="897"/>
      <c r="S829" s="897"/>
      <c r="T829" s="897"/>
      <c r="U829" s="897"/>
      <c r="V829" s="897"/>
      <c r="W829" s="897"/>
      <c r="X829" s="897"/>
      <c r="Y829" s="897"/>
    </row>
    <row r="830" spans="1:25">
      <c r="A830" s="896"/>
      <c r="B830" s="896"/>
      <c r="C830" s="896"/>
      <c r="D830" s="896"/>
      <c r="E830" s="896"/>
      <c r="R830" s="897"/>
      <c r="S830" s="897"/>
      <c r="T830" s="897"/>
      <c r="U830" s="897"/>
      <c r="V830" s="897"/>
      <c r="W830" s="897"/>
      <c r="X830" s="897"/>
      <c r="Y830" s="897"/>
    </row>
    <row r="831" spans="1:25">
      <c r="A831" s="896"/>
      <c r="B831" s="896"/>
      <c r="C831" s="896"/>
      <c r="D831" s="896"/>
      <c r="E831" s="896"/>
      <c r="R831" s="897"/>
      <c r="S831" s="897"/>
      <c r="T831" s="897"/>
      <c r="U831" s="897"/>
      <c r="V831" s="897"/>
      <c r="W831" s="897"/>
      <c r="X831" s="897"/>
      <c r="Y831" s="897"/>
    </row>
    <row r="832" spans="1:25">
      <c r="A832" s="896"/>
      <c r="B832" s="896"/>
      <c r="C832" s="896"/>
      <c r="D832" s="896"/>
      <c r="E832" s="896"/>
      <c r="R832" s="897"/>
      <c r="S832" s="897"/>
      <c r="T832" s="897"/>
      <c r="U832" s="897"/>
      <c r="V832" s="897"/>
      <c r="W832" s="897"/>
      <c r="X832" s="897"/>
      <c r="Y832" s="897"/>
    </row>
    <row r="833" spans="1:25">
      <c r="A833" s="896"/>
      <c r="B833" s="896"/>
      <c r="C833" s="896"/>
      <c r="D833" s="896"/>
      <c r="E833" s="896"/>
      <c r="R833" s="897"/>
      <c r="S833" s="897"/>
      <c r="T833" s="897"/>
      <c r="U833" s="897"/>
      <c r="V833" s="897"/>
      <c r="W833" s="897"/>
      <c r="X833" s="897"/>
      <c r="Y833" s="897"/>
    </row>
    <row r="834" spans="1:25">
      <c r="A834" s="896"/>
      <c r="B834" s="896"/>
      <c r="C834" s="896"/>
      <c r="D834" s="896"/>
      <c r="E834" s="896"/>
      <c r="R834" s="897"/>
      <c r="S834" s="897"/>
      <c r="T834" s="897"/>
      <c r="U834" s="897"/>
      <c r="V834" s="897"/>
      <c r="W834" s="897"/>
      <c r="X834" s="897"/>
      <c r="Y834" s="897"/>
    </row>
    <row r="835" spans="1:25">
      <c r="A835" s="896"/>
      <c r="B835" s="896"/>
      <c r="C835" s="896"/>
      <c r="D835" s="896"/>
      <c r="E835" s="896"/>
      <c r="R835" s="897"/>
      <c r="S835" s="897"/>
      <c r="T835" s="897"/>
      <c r="U835" s="897"/>
      <c r="V835" s="897"/>
      <c r="W835" s="897"/>
      <c r="X835" s="897"/>
      <c r="Y835" s="897"/>
    </row>
    <row r="836" spans="1:25">
      <c r="A836" s="896"/>
      <c r="B836" s="896"/>
      <c r="C836" s="896"/>
      <c r="D836" s="896"/>
      <c r="E836" s="896"/>
      <c r="R836" s="897"/>
      <c r="S836" s="897"/>
      <c r="T836" s="897"/>
      <c r="U836" s="897"/>
      <c r="V836" s="897"/>
      <c r="W836" s="897"/>
      <c r="X836" s="897"/>
      <c r="Y836" s="897"/>
    </row>
    <row r="837" spans="1:25">
      <c r="A837" s="896"/>
      <c r="B837" s="896"/>
      <c r="C837" s="896"/>
      <c r="D837" s="896"/>
      <c r="E837" s="896"/>
      <c r="R837" s="897"/>
      <c r="S837" s="897"/>
      <c r="T837" s="897"/>
      <c r="U837" s="897"/>
      <c r="V837" s="897"/>
      <c r="W837" s="897"/>
      <c r="X837" s="897"/>
      <c r="Y837" s="897"/>
    </row>
    <row r="838" spans="1:25">
      <c r="A838" s="896"/>
      <c r="B838" s="896"/>
      <c r="C838" s="896"/>
      <c r="D838" s="896"/>
      <c r="E838" s="896"/>
      <c r="R838" s="897"/>
      <c r="S838" s="897"/>
      <c r="T838" s="897"/>
      <c r="U838" s="897"/>
      <c r="V838" s="897"/>
      <c r="W838" s="897"/>
      <c r="X838" s="897"/>
      <c r="Y838" s="897"/>
    </row>
    <row r="839" spans="1:25">
      <c r="A839" s="896"/>
      <c r="B839" s="896"/>
      <c r="C839" s="896"/>
      <c r="D839" s="896"/>
      <c r="E839" s="896"/>
      <c r="R839" s="897"/>
      <c r="S839" s="897"/>
      <c r="T839" s="897"/>
      <c r="U839" s="897"/>
      <c r="V839" s="897"/>
      <c r="W839" s="897"/>
      <c r="X839" s="897"/>
      <c r="Y839" s="897"/>
    </row>
    <row r="840" spans="1:25">
      <c r="A840" s="896"/>
      <c r="B840" s="896"/>
      <c r="C840" s="896"/>
      <c r="D840" s="896"/>
      <c r="E840" s="896"/>
      <c r="R840" s="897"/>
      <c r="S840" s="897"/>
      <c r="T840" s="897"/>
      <c r="U840" s="897"/>
      <c r="V840" s="897"/>
      <c r="W840" s="897"/>
      <c r="X840" s="897"/>
      <c r="Y840" s="897"/>
    </row>
    <row r="841" spans="1:25">
      <c r="A841" s="896"/>
      <c r="B841" s="896"/>
      <c r="C841" s="896"/>
      <c r="D841" s="896"/>
      <c r="E841" s="896"/>
      <c r="R841" s="897"/>
      <c r="S841" s="897"/>
      <c r="T841" s="897"/>
      <c r="U841" s="897"/>
      <c r="V841" s="897"/>
      <c r="W841" s="897"/>
      <c r="X841" s="897"/>
      <c r="Y841" s="897"/>
    </row>
    <row r="842" spans="1:25">
      <c r="A842" s="896"/>
      <c r="B842" s="896"/>
      <c r="C842" s="896"/>
      <c r="D842" s="896"/>
      <c r="E842" s="896"/>
      <c r="R842" s="897"/>
      <c r="S842" s="897"/>
      <c r="T842" s="897"/>
      <c r="U842" s="897"/>
      <c r="V842" s="897"/>
      <c r="W842" s="897"/>
      <c r="X842" s="897"/>
      <c r="Y842" s="897"/>
    </row>
    <row r="843" spans="1:25">
      <c r="A843" s="896"/>
      <c r="B843" s="896"/>
      <c r="C843" s="896"/>
      <c r="D843" s="896"/>
      <c r="E843" s="896"/>
      <c r="R843" s="897"/>
      <c r="S843" s="897"/>
      <c r="T843" s="897"/>
      <c r="U843" s="897"/>
      <c r="V843" s="897"/>
      <c r="W843" s="897"/>
      <c r="X843" s="897"/>
      <c r="Y843" s="897"/>
    </row>
    <row r="844" spans="1:25">
      <c r="A844" s="896"/>
      <c r="B844" s="896"/>
      <c r="C844" s="896"/>
      <c r="D844" s="896"/>
      <c r="E844" s="896"/>
      <c r="R844" s="897"/>
      <c r="S844" s="897"/>
      <c r="T844" s="897"/>
      <c r="U844" s="897"/>
      <c r="V844" s="897"/>
      <c r="W844" s="897"/>
      <c r="X844" s="897"/>
      <c r="Y844" s="897"/>
    </row>
    <row r="845" spans="1:25">
      <c r="A845" s="896"/>
      <c r="B845" s="896"/>
      <c r="C845" s="896"/>
      <c r="D845" s="896"/>
      <c r="E845" s="896"/>
      <c r="R845" s="897"/>
      <c r="S845" s="897"/>
      <c r="T845" s="897"/>
      <c r="U845" s="897"/>
      <c r="V845" s="897"/>
      <c r="W845" s="897"/>
      <c r="X845" s="897"/>
      <c r="Y845" s="897"/>
    </row>
    <row r="846" spans="1:25">
      <c r="A846" s="896"/>
      <c r="B846" s="896"/>
      <c r="C846" s="896"/>
      <c r="D846" s="896"/>
      <c r="E846" s="896"/>
      <c r="R846" s="897"/>
      <c r="S846" s="897"/>
      <c r="T846" s="897"/>
      <c r="U846" s="897"/>
      <c r="V846" s="897"/>
      <c r="W846" s="897"/>
      <c r="X846" s="897"/>
      <c r="Y846" s="897"/>
    </row>
    <row r="847" spans="1:25">
      <c r="A847" s="896"/>
      <c r="B847" s="896"/>
      <c r="C847" s="896"/>
      <c r="D847" s="896"/>
      <c r="E847" s="896"/>
      <c r="R847" s="897"/>
      <c r="S847" s="897"/>
      <c r="T847" s="897"/>
      <c r="U847" s="897"/>
      <c r="V847" s="897"/>
      <c r="W847" s="897"/>
      <c r="X847" s="897"/>
      <c r="Y847" s="897"/>
    </row>
    <row r="848" spans="1:25">
      <c r="A848" s="896"/>
      <c r="B848" s="896"/>
      <c r="C848" s="896"/>
      <c r="D848" s="896"/>
      <c r="E848" s="896"/>
      <c r="R848" s="897"/>
      <c r="S848" s="897"/>
      <c r="T848" s="897"/>
      <c r="U848" s="897"/>
      <c r="V848" s="897"/>
      <c r="W848" s="897"/>
      <c r="X848" s="897"/>
      <c r="Y848" s="897"/>
    </row>
    <row r="849" spans="1:25">
      <c r="A849" s="896"/>
      <c r="B849" s="896"/>
      <c r="C849" s="896"/>
      <c r="D849" s="896"/>
      <c r="E849" s="896"/>
      <c r="R849" s="897"/>
      <c r="S849" s="897"/>
      <c r="T849" s="897"/>
      <c r="U849" s="897"/>
      <c r="V849" s="897"/>
      <c r="W849" s="897"/>
      <c r="X849" s="897"/>
      <c r="Y849" s="897"/>
    </row>
    <row r="850" spans="1:25">
      <c r="A850" s="896"/>
      <c r="B850" s="896"/>
      <c r="C850" s="896"/>
      <c r="D850" s="896"/>
      <c r="E850" s="896"/>
      <c r="R850" s="897"/>
      <c r="S850" s="897"/>
      <c r="T850" s="897"/>
      <c r="U850" s="897"/>
      <c r="V850" s="897"/>
      <c r="W850" s="897"/>
      <c r="X850" s="897"/>
      <c r="Y850" s="897"/>
    </row>
    <row r="851" spans="1:25">
      <c r="A851" s="896"/>
      <c r="B851" s="896"/>
      <c r="C851" s="896"/>
      <c r="D851" s="896"/>
      <c r="E851" s="896"/>
      <c r="R851" s="897"/>
      <c r="S851" s="897"/>
      <c r="T851" s="897"/>
      <c r="U851" s="897"/>
      <c r="V851" s="897"/>
      <c r="W851" s="897"/>
      <c r="X851" s="897"/>
      <c r="Y851" s="897"/>
    </row>
    <row r="852" spans="1:25">
      <c r="A852" s="896"/>
      <c r="B852" s="896"/>
      <c r="C852" s="896"/>
      <c r="D852" s="896"/>
      <c r="E852" s="896"/>
      <c r="R852" s="897"/>
      <c r="S852" s="897"/>
      <c r="T852" s="897"/>
      <c r="U852" s="897"/>
      <c r="V852" s="897"/>
      <c r="W852" s="897"/>
      <c r="X852" s="897"/>
      <c r="Y852" s="897"/>
    </row>
    <row r="853" spans="1:25">
      <c r="A853" s="896"/>
      <c r="B853" s="896"/>
      <c r="C853" s="896"/>
      <c r="D853" s="896"/>
      <c r="E853" s="896"/>
      <c r="R853" s="897"/>
      <c r="S853" s="897"/>
      <c r="T853" s="897"/>
      <c r="U853" s="897"/>
      <c r="V853" s="897"/>
      <c r="W853" s="897"/>
      <c r="X853" s="897"/>
      <c r="Y853" s="897"/>
    </row>
    <row r="854" spans="1:25">
      <c r="A854" s="896"/>
      <c r="B854" s="896"/>
      <c r="C854" s="896"/>
      <c r="D854" s="896"/>
      <c r="E854" s="896"/>
      <c r="R854" s="897"/>
      <c r="S854" s="897"/>
      <c r="T854" s="897"/>
      <c r="U854" s="897"/>
      <c r="V854" s="897"/>
      <c r="W854" s="897"/>
      <c r="X854" s="897"/>
      <c r="Y854" s="897"/>
    </row>
    <row r="855" spans="1:25">
      <c r="A855" s="896"/>
      <c r="B855" s="896"/>
      <c r="C855" s="896"/>
      <c r="D855" s="896"/>
      <c r="E855" s="896"/>
      <c r="R855" s="897"/>
      <c r="S855" s="897"/>
      <c r="T855" s="897"/>
      <c r="U855" s="897"/>
      <c r="V855" s="897"/>
      <c r="W855" s="897"/>
      <c r="X855" s="897"/>
      <c r="Y855" s="897"/>
    </row>
    <row r="856" spans="1:25">
      <c r="A856" s="896"/>
      <c r="B856" s="896"/>
      <c r="C856" s="896"/>
      <c r="D856" s="896"/>
      <c r="E856" s="896"/>
      <c r="R856" s="897"/>
      <c r="S856" s="897"/>
      <c r="T856" s="897"/>
      <c r="U856" s="897"/>
      <c r="V856" s="897"/>
      <c r="W856" s="897"/>
      <c r="X856" s="897"/>
      <c r="Y856" s="897"/>
    </row>
    <row r="857" spans="1:25">
      <c r="A857" s="896"/>
      <c r="B857" s="896"/>
      <c r="C857" s="896"/>
      <c r="D857" s="896"/>
      <c r="E857" s="896"/>
      <c r="R857" s="897"/>
      <c r="S857" s="897"/>
      <c r="T857" s="897"/>
      <c r="U857" s="897"/>
      <c r="V857" s="897"/>
      <c r="W857" s="897"/>
      <c r="X857" s="897"/>
      <c r="Y857" s="897"/>
    </row>
    <row r="858" spans="1:25">
      <c r="A858" s="896"/>
      <c r="B858" s="896"/>
      <c r="C858" s="896"/>
      <c r="D858" s="896"/>
      <c r="E858" s="896"/>
      <c r="R858" s="897"/>
      <c r="S858" s="897"/>
      <c r="T858" s="897"/>
      <c r="U858" s="897"/>
      <c r="V858" s="897"/>
      <c r="W858" s="897"/>
      <c r="X858" s="897"/>
      <c r="Y858" s="897"/>
    </row>
    <row r="859" spans="1:25">
      <c r="A859" s="896"/>
      <c r="B859" s="896"/>
      <c r="C859" s="896"/>
      <c r="D859" s="896"/>
      <c r="E859" s="896"/>
      <c r="R859" s="897"/>
      <c r="S859" s="897"/>
      <c r="T859" s="897"/>
      <c r="U859" s="897"/>
      <c r="V859" s="897"/>
      <c r="W859" s="897"/>
      <c r="X859" s="897"/>
      <c r="Y859" s="897"/>
    </row>
    <row r="860" spans="1:25">
      <c r="A860" s="896"/>
      <c r="B860" s="896"/>
      <c r="C860" s="896"/>
      <c r="D860" s="896"/>
      <c r="E860" s="896"/>
      <c r="R860" s="897"/>
      <c r="S860" s="897"/>
      <c r="T860" s="897"/>
      <c r="U860" s="897"/>
      <c r="V860" s="897"/>
      <c r="W860" s="897"/>
      <c r="X860" s="897"/>
      <c r="Y860" s="897"/>
    </row>
    <row r="861" spans="1:25">
      <c r="A861" s="896"/>
      <c r="B861" s="896"/>
      <c r="C861" s="896"/>
      <c r="D861" s="896"/>
      <c r="E861" s="896"/>
      <c r="R861" s="897"/>
      <c r="S861" s="897"/>
      <c r="T861" s="897"/>
      <c r="U861" s="897"/>
      <c r="V861" s="897"/>
      <c r="W861" s="897"/>
      <c r="X861" s="897"/>
      <c r="Y861" s="897"/>
    </row>
    <row r="862" spans="1:25">
      <c r="A862" s="896"/>
      <c r="B862" s="896"/>
      <c r="C862" s="896"/>
      <c r="D862" s="896"/>
      <c r="E862" s="896"/>
      <c r="R862" s="897"/>
      <c r="S862" s="897"/>
      <c r="T862" s="897"/>
      <c r="U862" s="897"/>
      <c r="V862" s="897"/>
      <c r="W862" s="897"/>
      <c r="X862" s="897"/>
      <c r="Y862" s="897"/>
    </row>
    <row r="863" spans="1:25">
      <c r="A863" s="896"/>
      <c r="B863" s="896"/>
      <c r="C863" s="896"/>
      <c r="D863" s="896"/>
      <c r="E863" s="896"/>
      <c r="R863" s="897"/>
      <c r="S863" s="897"/>
      <c r="T863" s="897"/>
      <c r="U863" s="897"/>
      <c r="V863" s="897"/>
      <c r="W863" s="897"/>
      <c r="X863" s="897"/>
      <c r="Y863" s="897"/>
    </row>
    <row r="864" spans="1:25">
      <c r="A864" s="896"/>
      <c r="B864" s="896"/>
      <c r="C864" s="896"/>
      <c r="D864" s="896"/>
      <c r="E864" s="896"/>
      <c r="R864" s="897"/>
      <c r="S864" s="897"/>
      <c r="T864" s="897"/>
      <c r="U864" s="897"/>
      <c r="V864" s="897"/>
      <c r="W864" s="897"/>
      <c r="X864" s="897"/>
      <c r="Y864" s="897"/>
    </row>
    <row r="865" spans="1:25">
      <c r="A865" s="896"/>
      <c r="B865" s="896"/>
      <c r="C865" s="896"/>
      <c r="D865" s="896"/>
      <c r="E865" s="896"/>
      <c r="R865" s="897"/>
      <c r="S865" s="897"/>
      <c r="T865" s="897"/>
      <c r="U865" s="897"/>
      <c r="V865" s="897"/>
      <c r="W865" s="897"/>
      <c r="X865" s="897"/>
      <c r="Y865" s="897"/>
    </row>
    <row r="866" spans="1:25">
      <c r="A866" s="896"/>
      <c r="B866" s="896"/>
      <c r="C866" s="896"/>
      <c r="D866" s="896"/>
      <c r="E866" s="896"/>
      <c r="R866" s="897"/>
      <c r="S866" s="897"/>
      <c r="T866" s="897"/>
      <c r="U866" s="897"/>
      <c r="V866" s="897"/>
      <c r="W866" s="897"/>
      <c r="X866" s="897"/>
      <c r="Y866" s="897"/>
    </row>
    <row r="867" spans="1:25">
      <c r="A867" s="896"/>
      <c r="B867" s="896"/>
      <c r="C867" s="896"/>
      <c r="D867" s="896"/>
      <c r="E867" s="896"/>
      <c r="R867" s="897"/>
      <c r="S867" s="897"/>
      <c r="T867" s="897"/>
      <c r="U867" s="897"/>
      <c r="V867" s="897"/>
      <c r="W867" s="897"/>
      <c r="X867" s="897"/>
      <c r="Y867" s="897"/>
    </row>
    <row r="868" spans="1:25">
      <c r="A868" s="896"/>
      <c r="B868" s="896"/>
      <c r="C868" s="896"/>
      <c r="D868" s="896"/>
      <c r="E868" s="896"/>
      <c r="R868" s="897"/>
      <c r="S868" s="897"/>
      <c r="T868" s="897"/>
      <c r="U868" s="897"/>
      <c r="V868" s="897"/>
      <c r="W868" s="897"/>
      <c r="X868" s="897"/>
      <c r="Y868" s="897"/>
    </row>
    <row r="869" spans="1:25">
      <c r="A869" s="896"/>
      <c r="B869" s="896"/>
      <c r="C869" s="896"/>
      <c r="D869" s="896"/>
      <c r="E869" s="896"/>
      <c r="R869" s="897"/>
      <c r="S869" s="897"/>
      <c r="T869" s="897"/>
      <c r="U869" s="897"/>
      <c r="V869" s="897"/>
      <c r="W869" s="897"/>
      <c r="X869" s="897"/>
      <c r="Y869" s="897"/>
    </row>
    <row r="870" spans="1:25">
      <c r="A870" s="896"/>
      <c r="B870" s="896"/>
      <c r="C870" s="896"/>
      <c r="D870" s="896"/>
      <c r="E870" s="896"/>
      <c r="R870" s="897"/>
      <c r="S870" s="897"/>
      <c r="T870" s="897"/>
      <c r="U870" s="897"/>
      <c r="V870" s="897"/>
      <c r="W870" s="897"/>
      <c r="X870" s="897"/>
      <c r="Y870" s="897"/>
    </row>
    <row r="871" spans="1:25">
      <c r="A871" s="896"/>
      <c r="B871" s="896"/>
      <c r="C871" s="896"/>
      <c r="D871" s="896"/>
      <c r="E871" s="896"/>
      <c r="R871" s="897"/>
      <c r="S871" s="897"/>
      <c r="T871" s="897"/>
      <c r="U871" s="897"/>
      <c r="V871" s="897"/>
      <c r="W871" s="897"/>
      <c r="X871" s="897"/>
      <c r="Y871" s="897"/>
    </row>
    <row r="872" spans="1:25">
      <c r="A872" s="896"/>
      <c r="B872" s="896"/>
      <c r="C872" s="896"/>
      <c r="D872" s="896"/>
      <c r="E872" s="896"/>
      <c r="R872" s="897"/>
      <c r="S872" s="897"/>
      <c r="T872" s="897"/>
      <c r="U872" s="897"/>
      <c r="V872" s="897"/>
      <c r="W872" s="897"/>
      <c r="X872" s="897"/>
      <c r="Y872" s="897"/>
    </row>
    <row r="873" spans="1:25">
      <c r="A873" s="896"/>
      <c r="B873" s="896"/>
      <c r="C873" s="896"/>
      <c r="D873" s="896"/>
      <c r="E873" s="896"/>
      <c r="R873" s="897"/>
      <c r="S873" s="897"/>
      <c r="T873" s="897"/>
      <c r="U873" s="897"/>
      <c r="V873" s="897"/>
      <c r="W873" s="897"/>
      <c r="X873" s="897"/>
      <c r="Y873" s="897"/>
    </row>
    <row r="874" spans="1:25">
      <c r="A874" s="896"/>
      <c r="B874" s="896"/>
      <c r="C874" s="896"/>
      <c r="D874" s="896"/>
      <c r="E874" s="896"/>
      <c r="R874" s="897"/>
      <c r="S874" s="897"/>
      <c r="T874" s="897"/>
      <c r="U874" s="897"/>
      <c r="V874" s="897"/>
      <c r="W874" s="897"/>
      <c r="X874" s="897"/>
      <c r="Y874" s="897"/>
    </row>
    <row r="875" spans="1:25">
      <c r="A875" s="896"/>
      <c r="B875" s="896"/>
      <c r="C875" s="896"/>
      <c r="D875" s="896"/>
      <c r="E875" s="896"/>
      <c r="R875" s="897"/>
      <c r="S875" s="897"/>
      <c r="T875" s="897"/>
      <c r="U875" s="897"/>
      <c r="V875" s="897"/>
      <c r="W875" s="897"/>
      <c r="X875" s="897"/>
      <c r="Y875" s="897"/>
    </row>
    <row r="876" spans="1:25">
      <c r="A876" s="896"/>
      <c r="B876" s="896"/>
      <c r="C876" s="896"/>
      <c r="D876" s="896"/>
      <c r="E876" s="896"/>
      <c r="R876" s="897"/>
      <c r="S876" s="897"/>
      <c r="T876" s="897"/>
      <c r="U876" s="897"/>
      <c r="V876" s="897"/>
      <c r="W876" s="897"/>
      <c r="X876" s="897"/>
      <c r="Y876" s="897"/>
    </row>
    <row r="877" spans="1:25">
      <c r="A877" s="896"/>
      <c r="B877" s="896"/>
      <c r="C877" s="896"/>
      <c r="D877" s="896"/>
      <c r="E877" s="896"/>
      <c r="R877" s="897"/>
      <c r="S877" s="897"/>
      <c r="T877" s="897"/>
      <c r="U877" s="897"/>
      <c r="V877" s="897"/>
      <c r="W877" s="897"/>
      <c r="X877" s="897"/>
      <c r="Y877" s="897"/>
    </row>
    <row r="878" spans="1:25">
      <c r="A878" s="896"/>
      <c r="B878" s="896"/>
      <c r="C878" s="896"/>
      <c r="D878" s="896"/>
      <c r="E878" s="896"/>
      <c r="R878" s="897"/>
      <c r="S878" s="897"/>
      <c r="T878" s="897"/>
      <c r="U878" s="897"/>
      <c r="V878" s="897"/>
      <c r="W878" s="897"/>
      <c r="X878" s="897"/>
      <c r="Y878" s="897"/>
    </row>
    <row r="879" spans="1:25">
      <c r="A879" s="896"/>
      <c r="B879" s="896"/>
      <c r="C879" s="896"/>
      <c r="D879" s="896"/>
      <c r="E879" s="896"/>
      <c r="R879" s="897"/>
      <c r="S879" s="897"/>
      <c r="T879" s="897"/>
      <c r="U879" s="897"/>
      <c r="V879" s="897"/>
      <c r="W879" s="897"/>
      <c r="X879" s="897"/>
      <c r="Y879" s="897"/>
    </row>
    <row r="880" spans="1:25">
      <c r="A880" s="896"/>
      <c r="B880" s="896"/>
      <c r="C880" s="896"/>
      <c r="D880" s="896"/>
      <c r="E880" s="896"/>
      <c r="R880" s="897"/>
      <c r="S880" s="897"/>
      <c r="T880" s="897"/>
      <c r="U880" s="897"/>
      <c r="V880" s="897"/>
      <c r="W880" s="897"/>
      <c r="X880" s="897"/>
      <c r="Y880" s="897"/>
    </row>
    <row r="881" spans="1:25">
      <c r="A881" s="896"/>
      <c r="B881" s="896"/>
      <c r="C881" s="896"/>
      <c r="D881" s="896"/>
      <c r="E881" s="896"/>
      <c r="R881" s="897"/>
      <c r="S881" s="897"/>
      <c r="T881" s="897"/>
      <c r="U881" s="897"/>
      <c r="V881" s="897"/>
      <c r="W881" s="897"/>
      <c r="X881" s="897"/>
      <c r="Y881" s="897"/>
    </row>
    <row r="882" spans="1:25">
      <c r="A882" s="896"/>
      <c r="B882" s="896"/>
      <c r="C882" s="896"/>
      <c r="D882" s="896"/>
      <c r="E882" s="896"/>
      <c r="R882" s="897"/>
      <c r="S882" s="897"/>
      <c r="T882" s="897"/>
      <c r="U882" s="897"/>
      <c r="V882" s="897"/>
      <c r="W882" s="897"/>
      <c r="X882" s="897"/>
      <c r="Y882" s="897"/>
    </row>
    <row r="883" spans="1:25">
      <c r="A883" s="896"/>
      <c r="B883" s="896"/>
      <c r="C883" s="896"/>
      <c r="D883" s="896"/>
      <c r="E883" s="896"/>
      <c r="R883" s="897"/>
      <c r="S883" s="897"/>
      <c r="T883" s="897"/>
      <c r="U883" s="897"/>
      <c r="V883" s="897"/>
      <c r="W883" s="897"/>
      <c r="X883" s="897"/>
      <c r="Y883" s="897"/>
    </row>
    <row r="884" spans="1:25">
      <c r="A884" s="896"/>
      <c r="B884" s="896"/>
      <c r="C884" s="896"/>
      <c r="D884" s="896"/>
      <c r="E884" s="896"/>
      <c r="R884" s="897"/>
      <c r="S884" s="897"/>
      <c r="T884" s="897"/>
      <c r="U884" s="897"/>
      <c r="V884" s="897"/>
      <c r="W884" s="897"/>
      <c r="X884" s="897"/>
      <c r="Y884" s="897"/>
    </row>
    <row r="885" spans="1:25">
      <c r="A885" s="896"/>
      <c r="B885" s="896"/>
      <c r="C885" s="896"/>
      <c r="D885" s="896"/>
      <c r="E885" s="896"/>
      <c r="R885" s="897"/>
      <c r="S885" s="897"/>
      <c r="T885" s="897"/>
      <c r="U885" s="897"/>
      <c r="V885" s="897"/>
      <c r="W885" s="897"/>
      <c r="X885" s="897"/>
      <c r="Y885" s="897"/>
    </row>
    <row r="886" spans="1:25">
      <c r="A886" s="896"/>
      <c r="B886" s="896"/>
      <c r="C886" s="896"/>
      <c r="D886" s="896"/>
      <c r="E886" s="896"/>
      <c r="R886" s="897"/>
      <c r="S886" s="897"/>
      <c r="T886" s="897"/>
      <c r="U886" s="897"/>
      <c r="V886" s="897"/>
      <c r="W886" s="897"/>
      <c r="X886" s="897"/>
      <c r="Y886" s="897"/>
    </row>
    <row r="887" spans="1:25">
      <c r="A887" s="896"/>
      <c r="B887" s="896"/>
      <c r="C887" s="896"/>
      <c r="D887" s="896"/>
      <c r="E887" s="896"/>
      <c r="R887" s="897"/>
      <c r="S887" s="897"/>
      <c r="T887" s="897"/>
      <c r="U887" s="897"/>
      <c r="V887" s="897"/>
      <c r="W887" s="897"/>
      <c r="X887" s="897"/>
      <c r="Y887" s="897"/>
    </row>
    <row r="888" spans="1:25">
      <c r="A888" s="896"/>
      <c r="B888" s="896"/>
      <c r="C888" s="896"/>
      <c r="D888" s="896"/>
      <c r="E888" s="896"/>
      <c r="R888" s="897"/>
      <c r="S888" s="897"/>
      <c r="T888" s="897"/>
      <c r="U888" s="897"/>
      <c r="V888" s="897"/>
      <c r="W888" s="897"/>
      <c r="X888" s="897"/>
      <c r="Y888" s="897"/>
    </row>
    <row r="889" spans="1:25">
      <c r="A889" s="896"/>
      <c r="B889" s="896"/>
      <c r="C889" s="896"/>
      <c r="D889" s="896"/>
      <c r="E889" s="896"/>
      <c r="R889" s="897"/>
      <c r="S889" s="897"/>
      <c r="T889" s="897"/>
      <c r="U889" s="897"/>
      <c r="V889" s="897"/>
      <c r="W889" s="897"/>
      <c r="X889" s="897"/>
      <c r="Y889" s="897"/>
    </row>
    <row r="890" spans="1:25">
      <c r="A890" s="896"/>
      <c r="B890" s="896"/>
      <c r="C890" s="896"/>
      <c r="D890" s="896"/>
      <c r="E890" s="896"/>
      <c r="R890" s="897"/>
      <c r="S890" s="897"/>
      <c r="T890" s="897"/>
      <c r="U890" s="897"/>
      <c r="V890" s="897"/>
      <c r="W890" s="897"/>
      <c r="X890" s="897"/>
      <c r="Y890" s="897"/>
    </row>
    <row r="891" spans="1:25">
      <c r="A891" s="896"/>
      <c r="B891" s="896"/>
      <c r="C891" s="896"/>
      <c r="D891" s="896"/>
      <c r="E891" s="896"/>
      <c r="R891" s="897"/>
      <c r="S891" s="897"/>
      <c r="T891" s="897"/>
      <c r="U891" s="897"/>
      <c r="V891" s="897"/>
      <c r="W891" s="897"/>
      <c r="X891" s="897"/>
      <c r="Y891" s="897"/>
    </row>
    <row r="892" spans="1:25">
      <c r="A892" s="896"/>
      <c r="B892" s="896"/>
      <c r="C892" s="896"/>
      <c r="D892" s="896"/>
      <c r="E892" s="896"/>
      <c r="R892" s="897"/>
      <c r="S892" s="897"/>
      <c r="T892" s="897"/>
      <c r="U892" s="897"/>
      <c r="V892" s="897"/>
      <c r="W892" s="897"/>
      <c r="X892" s="897"/>
      <c r="Y892" s="897"/>
    </row>
    <row r="893" spans="1:25">
      <c r="A893" s="896"/>
      <c r="B893" s="896"/>
      <c r="C893" s="896"/>
      <c r="D893" s="896"/>
      <c r="E893" s="896"/>
      <c r="R893" s="897"/>
      <c r="S893" s="897"/>
      <c r="T893" s="897"/>
      <c r="U893" s="897"/>
      <c r="V893" s="897"/>
      <c r="W893" s="897"/>
      <c r="X893" s="897"/>
      <c r="Y893" s="897"/>
    </row>
    <row r="894" spans="1:25">
      <c r="A894" s="896"/>
      <c r="B894" s="896"/>
      <c r="C894" s="896"/>
      <c r="D894" s="896"/>
      <c r="E894" s="896"/>
      <c r="R894" s="897"/>
      <c r="S894" s="897"/>
      <c r="T894" s="897"/>
      <c r="U894" s="897"/>
      <c r="V894" s="897"/>
      <c r="W894" s="897"/>
      <c r="X894" s="897"/>
      <c r="Y894" s="897"/>
    </row>
    <row r="895" spans="1:25">
      <c r="A895" s="896"/>
      <c r="B895" s="896"/>
      <c r="C895" s="896"/>
      <c r="D895" s="896"/>
      <c r="E895" s="896"/>
      <c r="R895" s="897"/>
      <c r="S895" s="897"/>
      <c r="T895" s="897"/>
      <c r="U895" s="897"/>
      <c r="V895" s="897"/>
      <c r="W895" s="897"/>
      <c r="X895" s="897"/>
      <c r="Y895" s="897"/>
    </row>
    <row r="896" spans="1:25">
      <c r="A896" s="896"/>
      <c r="B896" s="896"/>
      <c r="C896" s="896"/>
      <c r="D896" s="896"/>
      <c r="E896" s="896"/>
      <c r="R896" s="897"/>
      <c r="S896" s="897"/>
      <c r="T896" s="897"/>
      <c r="U896" s="897"/>
      <c r="V896" s="897"/>
      <c r="W896" s="897"/>
      <c r="X896" s="897"/>
      <c r="Y896" s="897"/>
    </row>
    <row r="897" spans="1:25">
      <c r="A897" s="896"/>
      <c r="B897" s="896"/>
      <c r="C897" s="896"/>
      <c r="D897" s="896"/>
      <c r="E897" s="896"/>
      <c r="R897" s="897"/>
      <c r="S897" s="897"/>
      <c r="T897" s="897"/>
      <c r="U897" s="897"/>
      <c r="V897" s="897"/>
      <c r="W897" s="897"/>
      <c r="X897" s="897"/>
      <c r="Y897" s="897"/>
    </row>
    <row r="898" spans="1:25">
      <c r="A898" s="896"/>
      <c r="B898" s="896"/>
      <c r="C898" s="896"/>
      <c r="D898" s="896"/>
      <c r="E898" s="896"/>
      <c r="R898" s="897"/>
      <c r="S898" s="897"/>
      <c r="T898" s="897"/>
      <c r="U898" s="897"/>
      <c r="V898" s="897"/>
      <c r="W898" s="897"/>
      <c r="X898" s="897"/>
      <c r="Y898" s="897"/>
    </row>
    <row r="899" spans="1:25">
      <c r="A899" s="896"/>
      <c r="B899" s="896"/>
      <c r="C899" s="896"/>
      <c r="D899" s="896"/>
      <c r="E899" s="896"/>
      <c r="R899" s="897"/>
      <c r="S899" s="897"/>
      <c r="T899" s="897"/>
      <c r="U899" s="897"/>
      <c r="V899" s="897"/>
      <c r="W899" s="897"/>
      <c r="X899" s="897"/>
      <c r="Y899" s="897"/>
    </row>
    <row r="900" spans="1:25">
      <c r="A900" s="896"/>
      <c r="B900" s="896"/>
      <c r="C900" s="896"/>
      <c r="D900" s="896"/>
      <c r="E900" s="896"/>
      <c r="R900" s="897"/>
      <c r="S900" s="897"/>
      <c r="T900" s="897"/>
      <c r="U900" s="897"/>
      <c r="V900" s="897"/>
      <c r="W900" s="897"/>
      <c r="X900" s="897"/>
      <c r="Y900" s="897"/>
    </row>
    <row r="901" spans="1:25">
      <c r="A901" s="896"/>
      <c r="B901" s="896"/>
      <c r="C901" s="896"/>
      <c r="D901" s="896"/>
      <c r="E901" s="896"/>
      <c r="R901" s="897"/>
      <c r="S901" s="897"/>
      <c r="T901" s="897"/>
      <c r="U901" s="897"/>
      <c r="V901" s="897"/>
      <c r="W901" s="897"/>
      <c r="X901" s="897"/>
      <c r="Y901" s="897"/>
    </row>
    <row r="902" spans="1:25">
      <c r="A902" s="896"/>
      <c r="B902" s="896"/>
      <c r="C902" s="896"/>
      <c r="D902" s="896"/>
      <c r="E902" s="896"/>
      <c r="R902" s="897"/>
      <c r="S902" s="897"/>
      <c r="T902" s="897"/>
      <c r="U902" s="897"/>
      <c r="V902" s="897"/>
      <c r="W902" s="897"/>
      <c r="X902" s="897"/>
      <c r="Y902" s="897"/>
    </row>
    <row r="903" spans="1:25">
      <c r="A903" s="896"/>
      <c r="B903" s="896"/>
      <c r="C903" s="896"/>
      <c r="D903" s="896"/>
      <c r="E903" s="896"/>
      <c r="R903" s="897"/>
      <c r="S903" s="897"/>
      <c r="T903" s="897"/>
      <c r="U903" s="897"/>
      <c r="V903" s="897"/>
      <c r="W903" s="897"/>
      <c r="X903" s="897"/>
      <c r="Y903" s="897"/>
    </row>
    <row r="904" spans="1:25">
      <c r="A904" s="896"/>
      <c r="B904" s="896"/>
      <c r="C904" s="896"/>
      <c r="D904" s="896"/>
      <c r="E904" s="896"/>
      <c r="R904" s="897"/>
      <c r="S904" s="897"/>
      <c r="T904" s="897"/>
      <c r="U904" s="897"/>
      <c r="V904" s="897"/>
      <c r="W904" s="897"/>
      <c r="X904" s="897"/>
      <c r="Y904" s="897"/>
    </row>
    <row r="905" spans="1:25">
      <c r="A905" s="896"/>
      <c r="B905" s="896"/>
      <c r="C905" s="896"/>
      <c r="D905" s="896"/>
      <c r="E905" s="896"/>
      <c r="R905" s="897"/>
      <c r="S905" s="897"/>
      <c r="T905" s="897"/>
      <c r="U905" s="897"/>
      <c r="V905" s="897"/>
      <c r="W905" s="897"/>
      <c r="X905" s="897"/>
      <c r="Y905" s="897"/>
    </row>
    <row r="906" spans="1:25">
      <c r="A906" s="896"/>
      <c r="B906" s="896"/>
      <c r="C906" s="896"/>
      <c r="D906" s="896"/>
      <c r="E906" s="896"/>
      <c r="R906" s="897"/>
      <c r="S906" s="897"/>
      <c r="T906" s="897"/>
      <c r="U906" s="897"/>
      <c r="V906" s="897"/>
      <c r="W906" s="897"/>
      <c r="X906" s="897"/>
      <c r="Y906" s="897"/>
    </row>
    <row r="907" spans="1:25">
      <c r="A907" s="896"/>
      <c r="B907" s="896"/>
      <c r="C907" s="896"/>
      <c r="D907" s="896"/>
      <c r="E907" s="896"/>
      <c r="R907" s="897"/>
      <c r="S907" s="897"/>
      <c r="T907" s="897"/>
      <c r="U907" s="897"/>
      <c r="V907" s="897"/>
      <c r="W907" s="897"/>
      <c r="X907" s="897"/>
      <c r="Y907" s="897"/>
    </row>
    <row r="908" spans="1:25">
      <c r="A908" s="896"/>
      <c r="B908" s="896"/>
      <c r="C908" s="896"/>
      <c r="D908" s="896"/>
      <c r="E908" s="896"/>
      <c r="R908" s="897"/>
      <c r="S908" s="897"/>
      <c r="T908" s="897"/>
      <c r="U908" s="897"/>
      <c r="V908" s="897"/>
      <c r="W908" s="897"/>
      <c r="X908" s="897"/>
      <c r="Y908" s="897"/>
    </row>
    <row r="909" spans="1:25">
      <c r="A909" s="896"/>
      <c r="B909" s="896"/>
      <c r="C909" s="896"/>
      <c r="D909" s="896"/>
      <c r="E909" s="896"/>
      <c r="R909" s="897"/>
      <c r="S909" s="897"/>
      <c r="T909" s="897"/>
      <c r="U909" s="897"/>
      <c r="V909" s="897"/>
      <c r="W909" s="897"/>
      <c r="X909" s="897"/>
      <c r="Y909" s="897"/>
    </row>
    <row r="910" spans="1:25">
      <c r="A910" s="896"/>
      <c r="B910" s="896"/>
      <c r="C910" s="896"/>
      <c r="D910" s="896"/>
      <c r="E910" s="896"/>
      <c r="R910" s="897"/>
      <c r="S910" s="897"/>
      <c r="T910" s="897"/>
      <c r="U910" s="897"/>
      <c r="V910" s="897"/>
      <c r="W910" s="897"/>
      <c r="X910" s="897"/>
      <c r="Y910" s="897"/>
    </row>
    <row r="911" spans="1:25">
      <c r="A911" s="896"/>
      <c r="B911" s="896"/>
      <c r="C911" s="896"/>
      <c r="D911" s="896"/>
      <c r="E911" s="896"/>
      <c r="R911" s="897"/>
      <c r="S911" s="897"/>
      <c r="T911" s="897"/>
      <c r="U911" s="897"/>
      <c r="V911" s="897"/>
      <c r="W911" s="897"/>
      <c r="X911" s="897"/>
      <c r="Y911" s="897"/>
    </row>
    <row r="912" spans="1:25">
      <c r="A912" s="896"/>
      <c r="B912" s="896"/>
      <c r="C912" s="896"/>
      <c r="D912" s="896"/>
      <c r="E912" s="896"/>
      <c r="R912" s="897"/>
      <c r="S912" s="897"/>
      <c r="T912" s="897"/>
      <c r="U912" s="897"/>
      <c r="V912" s="897"/>
      <c r="W912" s="897"/>
      <c r="X912" s="897"/>
      <c r="Y912" s="897"/>
    </row>
    <row r="913" spans="1:25">
      <c r="A913" s="896"/>
      <c r="B913" s="896"/>
      <c r="C913" s="896"/>
      <c r="D913" s="896"/>
      <c r="E913" s="896"/>
      <c r="R913" s="897"/>
      <c r="S913" s="897"/>
      <c r="T913" s="897"/>
      <c r="U913" s="897"/>
      <c r="V913" s="897"/>
      <c r="W913" s="897"/>
      <c r="X913" s="897"/>
      <c r="Y913" s="897"/>
    </row>
    <row r="914" spans="1:25">
      <c r="A914" s="896"/>
      <c r="B914" s="896"/>
      <c r="C914" s="896"/>
      <c r="D914" s="896"/>
      <c r="E914" s="896"/>
      <c r="R914" s="897"/>
      <c r="S914" s="897"/>
      <c r="T914" s="897"/>
      <c r="U914" s="897"/>
      <c r="V914" s="897"/>
      <c r="W914" s="897"/>
      <c r="X914" s="897"/>
      <c r="Y914" s="897"/>
    </row>
    <row r="915" spans="1:25">
      <c r="A915" s="896"/>
      <c r="B915" s="896"/>
      <c r="C915" s="896"/>
      <c r="D915" s="896"/>
      <c r="E915" s="896"/>
      <c r="R915" s="897"/>
      <c r="S915" s="897"/>
      <c r="T915" s="897"/>
      <c r="U915" s="897"/>
      <c r="V915" s="897"/>
      <c r="W915" s="897"/>
      <c r="X915" s="897"/>
      <c r="Y915" s="897"/>
    </row>
    <row r="916" spans="1:25">
      <c r="A916" s="896"/>
      <c r="B916" s="896"/>
      <c r="C916" s="896"/>
      <c r="D916" s="896"/>
      <c r="E916" s="896"/>
      <c r="R916" s="897"/>
      <c r="S916" s="897"/>
      <c r="T916" s="897"/>
      <c r="U916" s="897"/>
      <c r="V916" s="897"/>
      <c r="W916" s="897"/>
      <c r="X916" s="897"/>
      <c r="Y916" s="897"/>
    </row>
    <row r="917" spans="1:25">
      <c r="A917" s="896"/>
      <c r="B917" s="896"/>
      <c r="C917" s="896"/>
      <c r="D917" s="896"/>
      <c r="E917" s="896"/>
      <c r="R917" s="897"/>
      <c r="S917" s="897"/>
      <c r="T917" s="897"/>
      <c r="U917" s="897"/>
      <c r="V917" s="897"/>
      <c r="W917" s="897"/>
      <c r="X917" s="897"/>
      <c r="Y917" s="897"/>
    </row>
    <row r="918" spans="1:25">
      <c r="A918" s="896"/>
      <c r="B918" s="896"/>
      <c r="C918" s="896"/>
      <c r="D918" s="896"/>
      <c r="E918" s="896"/>
      <c r="R918" s="897"/>
      <c r="S918" s="897"/>
      <c r="T918" s="897"/>
      <c r="U918" s="897"/>
      <c r="V918" s="897"/>
      <c r="W918" s="897"/>
      <c r="X918" s="897"/>
      <c r="Y918" s="897"/>
    </row>
    <row r="919" spans="1:25">
      <c r="A919" s="896"/>
      <c r="B919" s="896"/>
      <c r="C919" s="896"/>
      <c r="D919" s="896"/>
      <c r="E919" s="896"/>
      <c r="R919" s="897"/>
      <c r="S919" s="897"/>
      <c r="T919" s="897"/>
      <c r="U919" s="897"/>
      <c r="V919" s="897"/>
      <c r="W919" s="897"/>
      <c r="X919" s="897"/>
      <c r="Y919" s="897"/>
    </row>
    <row r="920" spans="1:25">
      <c r="A920" s="896"/>
      <c r="B920" s="896"/>
      <c r="C920" s="896"/>
      <c r="D920" s="896"/>
      <c r="E920" s="896"/>
      <c r="R920" s="897"/>
      <c r="S920" s="897"/>
      <c r="T920" s="897"/>
      <c r="U920" s="897"/>
      <c r="V920" s="897"/>
      <c r="W920" s="897"/>
      <c r="X920" s="897"/>
      <c r="Y920" s="897"/>
    </row>
    <row r="921" spans="1:25">
      <c r="A921" s="896"/>
      <c r="B921" s="896"/>
      <c r="C921" s="896"/>
      <c r="D921" s="896"/>
      <c r="E921" s="896"/>
      <c r="R921" s="897"/>
      <c r="S921" s="897"/>
      <c r="T921" s="897"/>
      <c r="U921" s="897"/>
      <c r="V921" s="897"/>
      <c r="W921" s="897"/>
      <c r="X921" s="897"/>
      <c r="Y921" s="897"/>
    </row>
    <row r="922" spans="1:25">
      <c r="A922" s="896"/>
      <c r="B922" s="896"/>
      <c r="C922" s="896"/>
      <c r="D922" s="896"/>
      <c r="E922" s="896"/>
      <c r="R922" s="897"/>
      <c r="S922" s="897"/>
      <c r="T922" s="897"/>
      <c r="U922" s="897"/>
      <c r="V922" s="897"/>
      <c r="W922" s="897"/>
      <c r="X922" s="897"/>
      <c r="Y922" s="897"/>
    </row>
    <row r="923" spans="1:25">
      <c r="A923" s="896"/>
      <c r="B923" s="896"/>
      <c r="C923" s="896"/>
      <c r="D923" s="896"/>
      <c r="E923" s="896"/>
      <c r="R923" s="897"/>
      <c r="S923" s="897"/>
      <c r="T923" s="897"/>
      <c r="U923" s="897"/>
      <c r="V923" s="897"/>
      <c r="W923" s="897"/>
      <c r="X923" s="897"/>
      <c r="Y923" s="897"/>
    </row>
    <row r="924" spans="1:25">
      <c r="A924" s="896"/>
      <c r="B924" s="896"/>
      <c r="C924" s="896"/>
      <c r="D924" s="896"/>
      <c r="E924" s="896"/>
      <c r="R924" s="897"/>
      <c r="S924" s="897"/>
      <c r="T924" s="897"/>
      <c r="U924" s="897"/>
      <c r="V924" s="897"/>
      <c r="W924" s="897"/>
      <c r="X924" s="897"/>
      <c r="Y924" s="897"/>
    </row>
    <row r="925" spans="1:25">
      <c r="A925" s="896"/>
      <c r="B925" s="896"/>
      <c r="C925" s="896"/>
      <c r="D925" s="896"/>
      <c r="E925" s="896"/>
      <c r="R925" s="897"/>
      <c r="S925" s="897"/>
      <c r="T925" s="897"/>
      <c r="U925" s="897"/>
      <c r="V925" s="897"/>
      <c r="W925" s="897"/>
      <c r="X925" s="897"/>
      <c r="Y925" s="897"/>
    </row>
    <row r="926" spans="1:25">
      <c r="A926" s="896"/>
      <c r="B926" s="896"/>
      <c r="C926" s="896"/>
      <c r="D926" s="896"/>
      <c r="E926" s="896"/>
      <c r="R926" s="897"/>
      <c r="S926" s="897"/>
      <c r="T926" s="897"/>
      <c r="U926" s="897"/>
      <c r="V926" s="897"/>
      <c r="W926" s="897"/>
      <c r="X926" s="897"/>
      <c r="Y926" s="897"/>
    </row>
    <row r="927" spans="1:25">
      <c r="A927" s="896"/>
      <c r="B927" s="896"/>
      <c r="C927" s="896"/>
      <c r="D927" s="896"/>
      <c r="E927" s="896"/>
      <c r="R927" s="897"/>
      <c r="S927" s="897"/>
      <c r="T927" s="897"/>
      <c r="U927" s="897"/>
      <c r="V927" s="897"/>
      <c r="W927" s="897"/>
      <c r="X927" s="897"/>
      <c r="Y927" s="897"/>
    </row>
    <row r="928" spans="1:25">
      <c r="A928" s="896"/>
      <c r="B928" s="896"/>
      <c r="C928" s="896"/>
      <c r="D928" s="896"/>
      <c r="E928" s="896"/>
      <c r="R928" s="897"/>
      <c r="S928" s="897"/>
      <c r="T928" s="897"/>
      <c r="U928" s="897"/>
      <c r="V928" s="897"/>
      <c r="W928" s="897"/>
      <c r="X928" s="897"/>
      <c r="Y928" s="897"/>
    </row>
    <row r="929" spans="1:25">
      <c r="A929" s="896"/>
      <c r="B929" s="896"/>
      <c r="C929" s="896"/>
      <c r="D929" s="896"/>
      <c r="E929" s="896"/>
      <c r="R929" s="897"/>
      <c r="S929" s="897"/>
      <c r="T929" s="897"/>
      <c r="U929" s="897"/>
      <c r="V929" s="897"/>
      <c r="W929" s="897"/>
      <c r="X929" s="897"/>
      <c r="Y929" s="897"/>
    </row>
    <row r="930" spans="1:25">
      <c r="A930" s="896"/>
      <c r="B930" s="896"/>
      <c r="C930" s="896"/>
      <c r="D930" s="896"/>
      <c r="E930" s="896"/>
      <c r="R930" s="897"/>
      <c r="S930" s="897"/>
      <c r="T930" s="897"/>
      <c r="U930" s="897"/>
      <c r="V930" s="897"/>
      <c r="W930" s="897"/>
      <c r="X930" s="897"/>
      <c r="Y930" s="897"/>
    </row>
    <row r="931" spans="1:25">
      <c r="A931" s="896"/>
      <c r="B931" s="896"/>
      <c r="C931" s="896"/>
      <c r="D931" s="896"/>
      <c r="E931" s="896"/>
      <c r="R931" s="897"/>
      <c r="S931" s="897"/>
      <c r="T931" s="897"/>
      <c r="U931" s="897"/>
      <c r="V931" s="897"/>
      <c r="W931" s="897"/>
      <c r="X931" s="897"/>
      <c r="Y931" s="897"/>
    </row>
    <row r="932" spans="1:25">
      <c r="A932" s="896"/>
      <c r="B932" s="896"/>
      <c r="C932" s="896"/>
      <c r="D932" s="896"/>
      <c r="E932" s="896"/>
      <c r="R932" s="897"/>
      <c r="S932" s="897"/>
      <c r="T932" s="897"/>
      <c r="U932" s="897"/>
      <c r="V932" s="897"/>
      <c r="W932" s="897"/>
      <c r="X932" s="897"/>
      <c r="Y932" s="897"/>
    </row>
    <row r="933" spans="1:25">
      <c r="A933" s="896"/>
      <c r="B933" s="896"/>
      <c r="C933" s="896"/>
      <c r="D933" s="896"/>
      <c r="E933" s="896"/>
      <c r="R933" s="897"/>
      <c r="S933" s="897"/>
      <c r="T933" s="897"/>
      <c r="U933" s="897"/>
      <c r="V933" s="897"/>
      <c r="W933" s="897"/>
      <c r="X933" s="897"/>
      <c r="Y933" s="897"/>
    </row>
    <row r="934" spans="1:25">
      <c r="A934" s="896"/>
      <c r="B934" s="896"/>
      <c r="C934" s="896"/>
      <c r="D934" s="896"/>
      <c r="E934" s="896"/>
      <c r="R934" s="897"/>
      <c r="S934" s="897"/>
      <c r="T934" s="897"/>
      <c r="U934" s="897"/>
      <c r="V934" s="897"/>
      <c r="W934" s="897"/>
      <c r="X934" s="897"/>
      <c r="Y934" s="897"/>
    </row>
    <row r="935" spans="1:25">
      <c r="A935" s="896"/>
      <c r="B935" s="896"/>
      <c r="C935" s="896"/>
      <c r="D935" s="896"/>
      <c r="E935" s="896"/>
      <c r="R935" s="897"/>
      <c r="S935" s="897"/>
      <c r="T935" s="897"/>
      <c r="U935" s="897"/>
      <c r="V935" s="897"/>
      <c r="W935" s="897"/>
      <c r="X935" s="897"/>
      <c r="Y935" s="897"/>
    </row>
    <row r="936" spans="1:25">
      <c r="A936" s="896"/>
      <c r="B936" s="896"/>
      <c r="C936" s="896"/>
      <c r="D936" s="896"/>
      <c r="E936" s="896"/>
      <c r="R936" s="897"/>
      <c r="S936" s="897"/>
      <c r="T936" s="897"/>
      <c r="U936" s="897"/>
      <c r="V936" s="897"/>
      <c r="W936" s="897"/>
      <c r="X936" s="897"/>
      <c r="Y936" s="897"/>
    </row>
    <row r="937" spans="1:25">
      <c r="A937" s="896"/>
      <c r="B937" s="896"/>
      <c r="C937" s="896"/>
      <c r="D937" s="896"/>
      <c r="E937" s="896"/>
      <c r="R937" s="897"/>
      <c r="S937" s="897"/>
      <c r="T937" s="897"/>
      <c r="U937" s="897"/>
      <c r="V937" s="897"/>
      <c r="W937" s="897"/>
      <c r="X937" s="897"/>
      <c r="Y937" s="897"/>
    </row>
    <row r="938" spans="1:25">
      <c r="A938" s="896"/>
      <c r="B938" s="896"/>
      <c r="C938" s="896"/>
      <c r="D938" s="896"/>
      <c r="E938" s="896"/>
      <c r="R938" s="897"/>
      <c r="S938" s="897"/>
      <c r="T938" s="897"/>
      <c r="U938" s="897"/>
      <c r="V938" s="897"/>
      <c r="W938" s="897"/>
      <c r="X938" s="897"/>
      <c r="Y938" s="897"/>
    </row>
    <row r="939" spans="1:25">
      <c r="A939" s="896"/>
      <c r="B939" s="896"/>
      <c r="C939" s="896"/>
      <c r="D939" s="896"/>
      <c r="E939" s="896"/>
      <c r="R939" s="897"/>
      <c r="S939" s="897"/>
      <c r="T939" s="897"/>
      <c r="U939" s="897"/>
      <c r="V939" s="897"/>
      <c r="W939" s="897"/>
      <c r="X939" s="897"/>
      <c r="Y939" s="897"/>
    </row>
    <row r="940" spans="1:25">
      <c r="A940" s="896"/>
      <c r="B940" s="896"/>
      <c r="C940" s="896"/>
      <c r="D940" s="896"/>
      <c r="E940" s="896"/>
      <c r="R940" s="897"/>
      <c r="S940" s="897"/>
      <c r="T940" s="897"/>
      <c r="U940" s="897"/>
      <c r="V940" s="897"/>
      <c r="W940" s="897"/>
      <c r="X940" s="897"/>
      <c r="Y940" s="897"/>
    </row>
    <row r="941" spans="1:25">
      <c r="A941" s="896"/>
      <c r="B941" s="896"/>
      <c r="C941" s="896"/>
      <c r="D941" s="896"/>
      <c r="E941" s="896"/>
      <c r="R941" s="897"/>
      <c r="S941" s="897"/>
      <c r="T941" s="897"/>
      <c r="U941" s="897"/>
      <c r="V941" s="897"/>
      <c r="W941" s="897"/>
      <c r="X941" s="897"/>
      <c r="Y941" s="897"/>
    </row>
    <row r="942" spans="1:25">
      <c r="A942" s="896"/>
      <c r="B942" s="896"/>
      <c r="C942" s="896"/>
      <c r="D942" s="896"/>
      <c r="E942" s="896"/>
      <c r="R942" s="897"/>
      <c r="S942" s="897"/>
      <c r="T942" s="897"/>
      <c r="U942" s="897"/>
      <c r="V942" s="897"/>
      <c r="W942" s="897"/>
      <c r="X942" s="897"/>
      <c r="Y942" s="897"/>
    </row>
    <row r="943" spans="1:25">
      <c r="A943" s="896"/>
      <c r="B943" s="896"/>
      <c r="C943" s="896"/>
      <c r="D943" s="896"/>
      <c r="E943" s="896"/>
      <c r="R943" s="897"/>
      <c r="S943" s="897"/>
      <c r="T943" s="897"/>
      <c r="U943" s="897"/>
      <c r="V943" s="897"/>
      <c r="W943" s="897"/>
      <c r="X943" s="897"/>
      <c r="Y943" s="897"/>
    </row>
    <row r="944" spans="1:25">
      <c r="A944" s="896"/>
      <c r="B944" s="896"/>
      <c r="C944" s="896"/>
      <c r="D944" s="896"/>
      <c r="E944" s="896"/>
      <c r="R944" s="897"/>
      <c r="S944" s="897"/>
      <c r="T944" s="897"/>
      <c r="U944" s="897"/>
      <c r="V944" s="897"/>
      <c r="W944" s="897"/>
      <c r="X944" s="897"/>
      <c r="Y944" s="897"/>
    </row>
    <row r="945" spans="1:25">
      <c r="A945" s="896"/>
      <c r="B945" s="896"/>
      <c r="C945" s="896"/>
      <c r="D945" s="896"/>
      <c r="E945" s="896"/>
      <c r="R945" s="897"/>
      <c r="S945" s="897"/>
      <c r="T945" s="897"/>
      <c r="U945" s="897"/>
      <c r="V945" s="897"/>
      <c r="W945" s="897"/>
      <c r="X945" s="897"/>
      <c r="Y945" s="897"/>
    </row>
    <row r="946" spans="1:25">
      <c r="A946" s="896"/>
      <c r="B946" s="896"/>
      <c r="C946" s="896"/>
      <c r="D946" s="896"/>
      <c r="E946" s="896"/>
      <c r="R946" s="897"/>
      <c r="S946" s="897"/>
      <c r="T946" s="897"/>
      <c r="U946" s="897"/>
      <c r="V946" s="897"/>
      <c r="W946" s="897"/>
      <c r="X946" s="897"/>
      <c r="Y946" s="897"/>
    </row>
    <row r="947" spans="1:25">
      <c r="A947" s="896"/>
      <c r="B947" s="896"/>
      <c r="C947" s="896"/>
      <c r="D947" s="896"/>
      <c r="E947" s="896"/>
      <c r="R947" s="897"/>
      <c r="S947" s="897"/>
      <c r="T947" s="897"/>
      <c r="U947" s="897"/>
      <c r="V947" s="897"/>
      <c r="W947" s="897"/>
      <c r="X947" s="897"/>
      <c r="Y947" s="897"/>
    </row>
    <row r="948" spans="1:25">
      <c r="A948" s="896"/>
      <c r="B948" s="896"/>
      <c r="C948" s="896"/>
      <c r="D948" s="896"/>
      <c r="E948" s="896"/>
      <c r="R948" s="897"/>
      <c r="S948" s="897"/>
      <c r="T948" s="897"/>
      <c r="U948" s="897"/>
      <c r="V948" s="897"/>
      <c r="W948" s="897"/>
      <c r="X948" s="897"/>
      <c r="Y948" s="897"/>
    </row>
    <row r="949" spans="1:25">
      <c r="A949" s="896"/>
      <c r="B949" s="896"/>
      <c r="C949" s="896"/>
      <c r="D949" s="896"/>
      <c r="E949" s="896"/>
      <c r="R949" s="897"/>
      <c r="S949" s="897"/>
      <c r="T949" s="897"/>
      <c r="U949" s="897"/>
      <c r="V949" s="897"/>
      <c r="W949" s="897"/>
      <c r="X949" s="897"/>
      <c r="Y949" s="897"/>
    </row>
    <row r="950" spans="1:25">
      <c r="A950" s="896"/>
      <c r="B950" s="896"/>
      <c r="C950" s="896"/>
      <c r="D950" s="896"/>
      <c r="E950" s="896"/>
      <c r="R950" s="897"/>
      <c r="S950" s="897"/>
      <c r="T950" s="897"/>
      <c r="U950" s="897"/>
      <c r="V950" s="897"/>
      <c r="W950" s="897"/>
      <c r="X950" s="897"/>
      <c r="Y950" s="897"/>
    </row>
    <row r="951" spans="1:25">
      <c r="A951" s="896"/>
      <c r="B951" s="896"/>
      <c r="C951" s="896"/>
      <c r="D951" s="896"/>
      <c r="E951" s="896"/>
      <c r="R951" s="897"/>
      <c r="S951" s="897"/>
      <c r="T951" s="897"/>
      <c r="U951" s="897"/>
      <c r="V951" s="897"/>
      <c r="W951" s="897"/>
      <c r="X951" s="897"/>
      <c r="Y951" s="897"/>
    </row>
    <row r="952" spans="1:25">
      <c r="A952" s="896"/>
      <c r="B952" s="896"/>
      <c r="C952" s="896"/>
      <c r="D952" s="896"/>
      <c r="E952" s="896"/>
      <c r="R952" s="897"/>
      <c r="S952" s="897"/>
      <c r="T952" s="897"/>
      <c r="U952" s="897"/>
      <c r="V952" s="897"/>
      <c r="W952" s="897"/>
      <c r="X952" s="897"/>
      <c r="Y952" s="897"/>
    </row>
    <row r="953" spans="1:25">
      <c r="A953" s="896"/>
      <c r="B953" s="896"/>
      <c r="C953" s="896"/>
      <c r="D953" s="896"/>
      <c r="E953" s="896"/>
      <c r="R953" s="897"/>
      <c r="S953" s="897"/>
      <c r="T953" s="897"/>
      <c r="U953" s="897"/>
      <c r="V953" s="897"/>
      <c r="W953" s="897"/>
      <c r="X953" s="897"/>
      <c r="Y953" s="897"/>
    </row>
    <row r="954" spans="1:25">
      <c r="A954" s="896"/>
      <c r="B954" s="896"/>
      <c r="C954" s="896"/>
      <c r="D954" s="896"/>
      <c r="E954" s="896"/>
      <c r="R954" s="897"/>
      <c r="S954" s="897"/>
      <c r="T954" s="897"/>
      <c r="U954" s="897"/>
      <c r="V954" s="897"/>
      <c r="W954" s="897"/>
      <c r="X954" s="897"/>
      <c r="Y954" s="897"/>
    </row>
    <row r="955" spans="1:25">
      <c r="A955" s="896"/>
      <c r="B955" s="896"/>
      <c r="C955" s="896"/>
      <c r="D955" s="896"/>
      <c r="E955" s="896"/>
      <c r="R955" s="897"/>
      <c r="S955" s="897"/>
      <c r="T955" s="897"/>
      <c r="U955" s="897"/>
      <c r="V955" s="897"/>
      <c r="W955" s="897"/>
      <c r="X955" s="897"/>
      <c r="Y955" s="897"/>
    </row>
    <row r="956" spans="1:25">
      <c r="A956" s="896"/>
      <c r="B956" s="896"/>
      <c r="C956" s="896"/>
      <c r="D956" s="896"/>
      <c r="E956" s="896"/>
      <c r="R956" s="897"/>
      <c r="S956" s="897"/>
      <c r="T956" s="897"/>
      <c r="U956" s="897"/>
      <c r="V956" s="897"/>
      <c r="W956" s="897"/>
      <c r="X956" s="897"/>
      <c r="Y956" s="897"/>
    </row>
    <row r="957" spans="1:25">
      <c r="A957" s="896"/>
      <c r="B957" s="896"/>
      <c r="C957" s="896"/>
      <c r="D957" s="896"/>
      <c r="E957" s="896"/>
      <c r="R957" s="897"/>
      <c r="S957" s="897"/>
      <c r="T957" s="897"/>
      <c r="U957" s="897"/>
      <c r="V957" s="897"/>
      <c r="W957" s="897"/>
      <c r="X957" s="897"/>
      <c r="Y957" s="897"/>
    </row>
    <row r="958" spans="1:25">
      <c r="A958" s="896"/>
      <c r="B958" s="896"/>
      <c r="C958" s="896"/>
      <c r="D958" s="896"/>
      <c r="E958" s="896"/>
      <c r="R958" s="897"/>
      <c r="S958" s="897"/>
      <c r="T958" s="897"/>
      <c r="U958" s="897"/>
      <c r="V958" s="897"/>
      <c r="W958" s="897"/>
      <c r="X958" s="897"/>
      <c r="Y958" s="897"/>
    </row>
    <row r="959" spans="1:25">
      <c r="A959" s="896"/>
      <c r="B959" s="896"/>
      <c r="C959" s="896"/>
      <c r="D959" s="896"/>
      <c r="E959" s="896"/>
      <c r="R959" s="897"/>
      <c r="S959" s="897"/>
      <c r="T959" s="897"/>
      <c r="U959" s="897"/>
      <c r="V959" s="897"/>
      <c r="W959" s="897"/>
      <c r="X959" s="897"/>
      <c r="Y959" s="897"/>
    </row>
    <row r="960" spans="1:25">
      <c r="A960" s="896"/>
      <c r="B960" s="896"/>
      <c r="C960" s="896"/>
      <c r="D960" s="896"/>
      <c r="E960" s="896"/>
      <c r="R960" s="897"/>
      <c r="S960" s="897"/>
      <c r="T960" s="897"/>
      <c r="U960" s="897"/>
      <c r="V960" s="897"/>
      <c r="W960" s="897"/>
      <c r="X960" s="897"/>
      <c r="Y960" s="897"/>
    </row>
    <row r="961" spans="1:25">
      <c r="A961" s="896"/>
      <c r="B961" s="896"/>
      <c r="C961" s="896"/>
      <c r="D961" s="896"/>
      <c r="E961" s="896"/>
      <c r="R961" s="897"/>
      <c r="S961" s="897"/>
      <c r="T961" s="897"/>
      <c r="U961" s="897"/>
      <c r="V961" s="897"/>
      <c r="W961" s="897"/>
      <c r="X961" s="897"/>
      <c r="Y961" s="897"/>
    </row>
    <row r="962" spans="1:25">
      <c r="A962" s="896"/>
      <c r="B962" s="896"/>
      <c r="C962" s="896"/>
      <c r="D962" s="896"/>
      <c r="E962" s="896"/>
      <c r="R962" s="897"/>
      <c r="S962" s="897"/>
      <c r="T962" s="897"/>
      <c r="U962" s="897"/>
      <c r="V962" s="897"/>
      <c r="W962" s="897"/>
      <c r="X962" s="897"/>
      <c r="Y962" s="897"/>
    </row>
    <row r="963" spans="1:25">
      <c r="A963" s="896"/>
      <c r="B963" s="896"/>
      <c r="C963" s="896"/>
      <c r="D963" s="896"/>
      <c r="E963" s="896"/>
      <c r="R963" s="897"/>
      <c r="S963" s="897"/>
      <c r="T963" s="897"/>
      <c r="U963" s="897"/>
      <c r="V963" s="897"/>
      <c r="W963" s="897"/>
      <c r="X963" s="897"/>
      <c r="Y963" s="897"/>
    </row>
    <row r="964" spans="1:25">
      <c r="A964" s="896"/>
      <c r="B964" s="896"/>
      <c r="C964" s="896"/>
      <c r="D964" s="896"/>
      <c r="E964" s="896"/>
      <c r="R964" s="897"/>
      <c r="S964" s="897"/>
      <c r="T964" s="897"/>
      <c r="U964" s="897"/>
      <c r="V964" s="897"/>
      <c r="W964" s="897"/>
      <c r="X964" s="897"/>
      <c r="Y964" s="897"/>
    </row>
    <row r="965" spans="1:25">
      <c r="A965" s="896"/>
      <c r="B965" s="896"/>
      <c r="C965" s="896"/>
      <c r="D965" s="896"/>
      <c r="E965" s="896"/>
      <c r="R965" s="897"/>
      <c r="S965" s="897"/>
      <c r="T965" s="897"/>
      <c r="U965" s="897"/>
      <c r="V965" s="897"/>
      <c r="W965" s="897"/>
      <c r="X965" s="897"/>
      <c r="Y965" s="897"/>
    </row>
    <row r="966" spans="1:25">
      <c r="A966" s="896"/>
      <c r="B966" s="896"/>
      <c r="C966" s="896"/>
      <c r="D966" s="896"/>
      <c r="E966" s="896"/>
      <c r="R966" s="897"/>
      <c r="S966" s="897"/>
      <c r="T966" s="897"/>
      <c r="U966" s="897"/>
      <c r="V966" s="897"/>
      <c r="W966" s="897"/>
      <c r="X966" s="897"/>
      <c r="Y966" s="897"/>
    </row>
    <row r="967" spans="1:25">
      <c r="A967" s="896"/>
      <c r="B967" s="896"/>
      <c r="C967" s="896"/>
      <c r="D967" s="896"/>
      <c r="E967" s="896"/>
      <c r="R967" s="897"/>
      <c r="S967" s="897"/>
      <c r="T967" s="897"/>
      <c r="U967" s="897"/>
      <c r="V967" s="897"/>
      <c r="W967" s="897"/>
      <c r="X967" s="897"/>
      <c r="Y967" s="897"/>
    </row>
    <row r="968" spans="1:25">
      <c r="A968" s="896"/>
      <c r="B968" s="896"/>
      <c r="C968" s="896"/>
      <c r="D968" s="896"/>
      <c r="E968" s="896"/>
      <c r="R968" s="897"/>
      <c r="S968" s="897"/>
      <c r="T968" s="897"/>
      <c r="U968" s="897"/>
      <c r="V968" s="897"/>
      <c r="W968" s="897"/>
      <c r="X968" s="897"/>
      <c r="Y968" s="897"/>
    </row>
    <row r="969" spans="1:25">
      <c r="A969" s="896"/>
      <c r="B969" s="896"/>
      <c r="C969" s="896"/>
      <c r="D969" s="896"/>
      <c r="E969" s="896"/>
      <c r="R969" s="897"/>
      <c r="S969" s="897"/>
      <c r="T969" s="897"/>
      <c r="U969" s="897"/>
      <c r="V969" s="897"/>
      <c r="W969" s="897"/>
      <c r="X969" s="897"/>
      <c r="Y969" s="897"/>
    </row>
    <row r="970" spans="1:25">
      <c r="A970" s="896"/>
      <c r="B970" s="896"/>
      <c r="C970" s="896"/>
      <c r="D970" s="896"/>
      <c r="E970" s="896"/>
      <c r="R970" s="897"/>
      <c r="S970" s="897"/>
      <c r="T970" s="897"/>
      <c r="U970" s="897"/>
      <c r="V970" s="897"/>
      <c r="W970" s="897"/>
      <c r="X970" s="897"/>
      <c r="Y970" s="897"/>
    </row>
    <row r="971" spans="1:25">
      <c r="A971" s="896"/>
      <c r="B971" s="896"/>
      <c r="C971" s="896"/>
      <c r="D971" s="896"/>
      <c r="E971" s="896"/>
      <c r="R971" s="897"/>
      <c r="S971" s="897"/>
      <c r="T971" s="897"/>
      <c r="U971" s="897"/>
      <c r="V971" s="897"/>
      <c r="W971" s="897"/>
      <c r="X971" s="897"/>
      <c r="Y971" s="897"/>
    </row>
    <row r="972" spans="1:25">
      <c r="A972" s="896"/>
      <c r="B972" s="896"/>
      <c r="C972" s="896"/>
      <c r="D972" s="896"/>
      <c r="E972" s="896"/>
      <c r="R972" s="897"/>
      <c r="S972" s="897"/>
      <c r="T972" s="897"/>
      <c r="U972" s="897"/>
      <c r="V972" s="897"/>
      <c r="W972" s="897"/>
      <c r="X972" s="897"/>
      <c r="Y972" s="897"/>
    </row>
    <row r="973" spans="1:25">
      <c r="A973" s="896"/>
      <c r="B973" s="896"/>
      <c r="C973" s="896"/>
      <c r="D973" s="896"/>
      <c r="E973" s="896"/>
      <c r="R973" s="897"/>
      <c r="S973" s="897"/>
      <c r="T973" s="897"/>
      <c r="U973" s="897"/>
      <c r="V973" s="897"/>
      <c r="W973" s="897"/>
      <c r="X973" s="897"/>
      <c r="Y973" s="897"/>
    </row>
    <row r="974" spans="1:25">
      <c r="A974" s="896"/>
      <c r="B974" s="896"/>
      <c r="C974" s="896"/>
      <c r="D974" s="896"/>
      <c r="E974" s="896"/>
      <c r="R974" s="897"/>
      <c r="S974" s="897"/>
      <c r="T974" s="897"/>
      <c r="U974" s="897"/>
      <c r="V974" s="897"/>
      <c r="W974" s="897"/>
      <c r="X974" s="897"/>
      <c r="Y974" s="897"/>
    </row>
    <row r="975" spans="1:25">
      <c r="A975" s="896"/>
      <c r="B975" s="896"/>
      <c r="C975" s="896"/>
      <c r="D975" s="896"/>
      <c r="E975" s="896"/>
      <c r="R975" s="897"/>
      <c r="S975" s="897"/>
      <c r="T975" s="897"/>
      <c r="U975" s="897"/>
      <c r="V975" s="897"/>
      <c r="W975" s="897"/>
      <c r="X975" s="897"/>
      <c r="Y975" s="897"/>
    </row>
    <row r="976" spans="1:25">
      <c r="A976" s="896"/>
      <c r="B976" s="896"/>
      <c r="C976" s="896"/>
      <c r="D976" s="896"/>
      <c r="E976" s="896"/>
      <c r="R976" s="897"/>
      <c r="S976" s="897"/>
      <c r="T976" s="897"/>
      <c r="U976" s="897"/>
      <c r="V976" s="897"/>
      <c r="W976" s="897"/>
      <c r="X976" s="897"/>
      <c r="Y976" s="897"/>
    </row>
    <row r="977" spans="1:25">
      <c r="A977" s="896"/>
      <c r="B977" s="896"/>
      <c r="C977" s="896"/>
      <c r="D977" s="896"/>
      <c r="E977" s="896"/>
      <c r="R977" s="897"/>
      <c r="S977" s="897"/>
      <c r="T977" s="897"/>
      <c r="U977" s="897"/>
      <c r="V977" s="897"/>
      <c r="W977" s="897"/>
      <c r="X977" s="897"/>
      <c r="Y977" s="897"/>
    </row>
    <row r="978" spans="1:25">
      <c r="A978" s="896"/>
      <c r="B978" s="896"/>
      <c r="C978" s="896"/>
      <c r="D978" s="896"/>
      <c r="E978" s="896"/>
      <c r="R978" s="897"/>
      <c r="S978" s="897"/>
      <c r="T978" s="897"/>
      <c r="U978" s="897"/>
      <c r="V978" s="897"/>
      <c r="W978" s="897"/>
      <c r="X978" s="897"/>
      <c r="Y978" s="897"/>
    </row>
    <row r="979" spans="1:25">
      <c r="A979" s="896"/>
      <c r="B979" s="896"/>
      <c r="C979" s="896"/>
      <c r="D979" s="896"/>
      <c r="E979" s="896"/>
      <c r="R979" s="897"/>
      <c r="S979" s="897"/>
      <c r="T979" s="897"/>
      <c r="U979" s="897"/>
      <c r="V979" s="897"/>
      <c r="W979" s="897"/>
      <c r="X979" s="897"/>
      <c r="Y979" s="897"/>
    </row>
    <row r="980" spans="1:25">
      <c r="A980" s="896"/>
      <c r="B980" s="896"/>
      <c r="C980" s="896"/>
      <c r="D980" s="896"/>
      <c r="E980" s="896"/>
      <c r="R980" s="897"/>
      <c r="S980" s="897"/>
      <c r="T980" s="897"/>
      <c r="U980" s="897"/>
      <c r="V980" s="897"/>
      <c r="W980" s="897"/>
      <c r="X980" s="897"/>
      <c r="Y980" s="897"/>
    </row>
    <row r="981" spans="1:25">
      <c r="A981" s="896"/>
      <c r="B981" s="896"/>
      <c r="C981" s="896"/>
      <c r="D981" s="896"/>
      <c r="E981" s="896"/>
      <c r="R981" s="897"/>
      <c r="S981" s="897"/>
      <c r="T981" s="897"/>
      <c r="U981" s="897"/>
      <c r="V981" s="897"/>
      <c r="W981" s="897"/>
      <c r="X981" s="897"/>
      <c r="Y981" s="897"/>
    </row>
    <row r="982" spans="1:25">
      <c r="A982" s="896"/>
      <c r="B982" s="896"/>
      <c r="C982" s="896"/>
      <c r="D982" s="896"/>
      <c r="E982" s="896"/>
      <c r="R982" s="897"/>
      <c r="S982" s="897"/>
      <c r="T982" s="897"/>
      <c r="U982" s="897"/>
      <c r="V982" s="897"/>
      <c r="W982" s="897"/>
      <c r="X982" s="897"/>
      <c r="Y982" s="897"/>
    </row>
    <row r="983" spans="1:25">
      <c r="A983" s="896"/>
      <c r="B983" s="896"/>
      <c r="C983" s="896"/>
      <c r="D983" s="896"/>
      <c r="E983" s="896"/>
      <c r="R983" s="897"/>
      <c r="S983" s="897"/>
      <c r="T983" s="897"/>
      <c r="U983" s="897"/>
      <c r="V983" s="897"/>
      <c r="W983" s="897"/>
      <c r="X983" s="897"/>
      <c r="Y983" s="897"/>
    </row>
    <row r="984" spans="1:25">
      <c r="A984" s="896"/>
      <c r="B984" s="896"/>
      <c r="C984" s="896"/>
      <c r="D984" s="896"/>
      <c r="E984" s="896"/>
      <c r="R984" s="897"/>
      <c r="S984" s="897"/>
      <c r="T984" s="897"/>
      <c r="U984" s="897"/>
      <c r="V984" s="897"/>
      <c r="W984" s="897"/>
      <c r="X984" s="897"/>
      <c r="Y984" s="897"/>
    </row>
    <row r="985" spans="1:25">
      <c r="A985" s="896"/>
      <c r="B985" s="896"/>
      <c r="C985" s="896"/>
      <c r="D985" s="896"/>
      <c r="E985" s="896"/>
      <c r="R985" s="897"/>
      <c r="S985" s="897"/>
      <c r="T985" s="897"/>
      <c r="U985" s="897"/>
      <c r="V985" s="897"/>
      <c r="W985" s="897"/>
      <c r="X985" s="897"/>
      <c r="Y985" s="897"/>
    </row>
    <row r="986" spans="1:25">
      <c r="A986" s="896"/>
      <c r="B986" s="896"/>
      <c r="C986" s="896"/>
      <c r="D986" s="896"/>
      <c r="E986" s="896"/>
      <c r="R986" s="897"/>
      <c r="S986" s="897"/>
      <c r="T986" s="897"/>
      <c r="U986" s="897"/>
      <c r="V986" s="897"/>
      <c r="W986" s="897"/>
      <c r="X986" s="897"/>
      <c r="Y986" s="897"/>
    </row>
    <row r="987" spans="1:25">
      <c r="A987" s="896"/>
      <c r="B987" s="896"/>
      <c r="C987" s="896"/>
      <c r="D987" s="896"/>
      <c r="E987" s="896"/>
      <c r="R987" s="897"/>
      <c r="S987" s="897"/>
      <c r="T987" s="897"/>
      <c r="U987" s="897"/>
      <c r="V987" s="897"/>
      <c r="W987" s="897"/>
      <c r="X987" s="897"/>
      <c r="Y987" s="897"/>
    </row>
    <row r="988" spans="1:25">
      <c r="A988" s="896"/>
      <c r="B988" s="896"/>
      <c r="C988" s="896"/>
      <c r="D988" s="896"/>
      <c r="E988" s="896"/>
      <c r="R988" s="897"/>
      <c r="S988" s="897"/>
      <c r="T988" s="897"/>
      <c r="U988" s="897"/>
      <c r="V988" s="897"/>
      <c r="W988" s="897"/>
      <c r="X988" s="897"/>
      <c r="Y988" s="897"/>
    </row>
    <row r="989" spans="1:25">
      <c r="A989" s="896"/>
      <c r="B989" s="896"/>
      <c r="C989" s="896"/>
      <c r="D989" s="896"/>
      <c r="E989" s="896"/>
      <c r="R989" s="897"/>
      <c r="S989" s="897"/>
      <c r="T989" s="897"/>
      <c r="U989" s="897"/>
      <c r="V989" s="897"/>
      <c r="W989" s="897"/>
      <c r="X989" s="897"/>
      <c r="Y989" s="897"/>
    </row>
    <row r="990" spans="1:25">
      <c r="A990" s="896"/>
      <c r="B990" s="896"/>
      <c r="C990" s="896"/>
      <c r="D990" s="896"/>
      <c r="E990" s="896"/>
      <c r="R990" s="897"/>
      <c r="S990" s="897"/>
      <c r="T990" s="897"/>
      <c r="U990" s="897"/>
      <c r="V990" s="897"/>
      <c r="W990" s="897"/>
      <c r="X990" s="897"/>
      <c r="Y990" s="897"/>
    </row>
    <row r="991" spans="1:25">
      <c r="A991" s="896"/>
      <c r="B991" s="896"/>
      <c r="C991" s="896"/>
      <c r="D991" s="896"/>
      <c r="E991" s="896"/>
      <c r="R991" s="897"/>
      <c r="S991" s="897"/>
      <c r="T991" s="897"/>
      <c r="U991" s="897"/>
      <c r="V991" s="897"/>
      <c r="W991" s="897"/>
      <c r="X991" s="897"/>
      <c r="Y991" s="897"/>
    </row>
    <row r="992" spans="1:25">
      <c r="A992" s="896"/>
      <c r="B992" s="896"/>
      <c r="C992" s="896"/>
      <c r="D992" s="896"/>
      <c r="E992" s="896"/>
      <c r="R992" s="897"/>
      <c r="S992" s="897"/>
      <c r="T992" s="897"/>
      <c r="U992" s="897"/>
      <c r="V992" s="897"/>
      <c r="W992" s="897"/>
      <c r="X992" s="897"/>
      <c r="Y992" s="897"/>
    </row>
    <row r="993" spans="1:25">
      <c r="A993" s="896"/>
      <c r="B993" s="896"/>
      <c r="C993" s="896"/>
      <c r="D993" s="896"/>
      <c r="E993" s="896"/>
      <c r="R993" s="897"/>
      <c r="S993" s="897"/>
      <c r="T993" s="897"/>
      <c r="U993" s="897"/>
      <c r="V993" s="897"/>
      <c r="W993" s="897"/>
      <c r="X993" s="897"/>
      <c r="Y993" s="897"/>
    </row>
    <row r="994" spans="1:25">
      <c r="A994" s="896"/>
      <c r="B994" s="896"/>
      <c r="C994" s="896"/>
      <c r="D994" s="896"/>
      <c r="E994" s="896"/>
      <c r="R994" s="897"/>
      <c r="S994" s="897"/>
      <c r="T994" s="897"/>
      <c r="U994" s="897"/>
      <c r="V994" s="897"/>
      <c r="W994" s="897"/>
      <c r="X994" s="897"/>
      <c r="Y994" s="897"/>
    </row>
    <row r="995" spans="1:25">
      <c r="A995" s="896"/>
      <c r="B995" s="896"/>
      <c r="C995" s="896"/>
      <c r="D995" s="896"/>
      <c r="E995" s="896"/>
      <c r="R995" s="897"/>
      <c r="S995" s="897"/>
      <c r="T995" s="897"/>
      <c r="U995" s="897"/>
      <c r="V995" s="897"/>
      <c r="W995" s="897"/>
      <c r="X995" s="897"/>
      <c r="Y995" s="897"/>
    </row>
    <row r="996" spans="1:25">
      <c r="A996" s="896"/>
      <c r="B996" s="896"/>
      <c r="C996" s="896"/>
      <c r="D996" s="896"/>
      <c r="E996" s="896"/>
      <c r="R996" s="897"/>
      <c r="S996" s="897"/>
      <c r="T996" s="897"/>
      <c r="U996" s="897"/>
      <c r="V996" s="897"/>
      <c r="W996" s="897"/>
      <c r="X996" s="897"/>
      <c r="Y996" s="897"/>
    </row>
    <row r="997" spans="1:25">
      <c r="A997" s="896"/>
      <c r="B997" s="896"/>
      <c r="C997" s="896"/>
      <c r="D997" s="896"/>
      <c r="E997" s="896"/>
      <c r="R997" s="897"/>
      <c r="S997" s="897"/>
      <c r="T997" s="897"/>
      <c r="U997" s="897"/>
      <c r="V997" s="897"/>
      <c r="W997" s="897"/>
      <c r="X997" s="897"/>
      <c r="Y997" s="897"/>
    </row>
    <row r="998" spans="1:25">
      <c r="A998" s="896"/>
      <c r="B998" s="896"/>
      <c r="C998" s="896"/>
      <c r="D998" s="896"/>
      <c r="E998" s="896"/>
      <c r="R998" s="897"/>
      <c r="S998" s="897"/>
      <c r="T998" s="897"/>
      <c r="U998" s="897"/>
      <c r="V998" s="897"/>
      <c r="W998" s="897"/>
      <c r="X998" s="897"/>
      <c r="Y998" s="897"/>
    </row>
    <row r="999" spans="1:25">
      <c r="A999" s="896"/>
      <c r="B999" s="896"/>
      <c r="C999" s="896"/>
      <c r="D999" s="896"/>
      <c r="E999" s="896"/>
      <c r="R999" s="897"/>
      <c r="S999" s="897"/>
      <c r="T999" s="897"/>
      <c r="U999" s="897"/>
      <c r="V999" s="897"/>
      <c r="W999" s="897"/>
      <c r="X999" s="897"/>
      <c r="Y999" s="897"/>
    </row>
    <row r="1000" spans="1:25">
      <c r="A1000" s="896"/>
      <c r="B1000" s="896"/>
      <c r="C1000" s="896"/>
      <c r="D1000" s="896"/>
      <c r="E1000" s="896"/>
      <c r="R1000" s="897"/>
      <c r="S1000" s="897"/>
      <c r="T1000" s="897"/>
      <c r="U1000" s="897"/>
      <c r="V1000" s="897"/>
      <c r="W1000" s="897"/>
      <c r="X1000" s="897"/>
      <c r="Y1000" s="897"/>
    </row>
    <row r="1001" spans="1:25">
      <c r="A1001" s="896"/>
      <c r="B1001" s="896"/>
      <c r="C1001" s="896"/>
      <c r="D1001" s="896"/>
      <c r="E1001" s="896"/>
      <c r="R1001" s="897"/>
      <c r="S1001" s="897"/>
      <c r="T1001" s="897"/>
      <c r="U1001" s="897"/>
      <c r="V1001" s="897"/>
      <c r="W1001" s="897"/>
      <c r="X1001" s="897"/>
      <c r="Y1001" s="897"/>
    </row>
    <row r="1002" spans="1:25">
      <c r="A1002" s="896"/>
      <c r="B1002" s="896"/>
      <c r="C1002" s="896"/>
      <c r="D1002" s="896"/>
      <c r="E1002" s="896"/>
      <c r="R1002" s="897"/>
      <c r="S1002" s="897"/>
      <c r="T1002" s="897"/>
      <c r="U1002" s="897"/>
      <c r="V1002" s="897"/>
      <c r="W1002" s="897"/>
      <c r="X1002" s="897"/>
      <c r="Y1002" s="897"/>
    </row>
    <row r="1003" spans="1:25">
      <c r="A1003" s="896"/>
      <c r="B1003" s="896"/>
      <c r="C1003" s="896"/>
      <c r="D1003" s="896"/>
      <c r="E1003" s="896"/>
      <c r="R1003" s="897"/>
      <c r="S1003" s="897"/>
      <c r="T1003" s="897"/>
      <c r="U1003" s="897"/>
      <c r="V1003" s="897"/>
      <c r="W1003" s="897"/>
      <c r="X1003" s="897"/>
      <c r="Y1003" s="897"/>
    </row>
    <row r="1004" spans="1:25">
      <c r="A1004" s="896"/>
      <c r="B1004" s="896"/>
      <c r="C1004" s="896"/>
      <c r="D1004" s="896"/>
      <c r="E1004" s="896"/>
      <c r="R1004" s="897"/>
      <c r="S1004" s="897"/>
      <c r="T1004" s="897"/>
      <c r="U1004" s="897"/>
      <c r="V1004" s="897"/>
      <c r="W1004" s="897"/>
      <c r="X1004" s="897"/>
      <c r="Y1004" s="897"/>
    </row>
    <row r="1005" spans="1:25">
      <c r="A1005" s="896"/>
      <c r="B1005" s="896"/>
      <c r="C1005" s="896"/>
      <c r="D1005" s="896"/>
      <c r="E1005" s="896"/>
      <c r="R1005" s="897"/>
      <c r="S1005" s="897"/>
      <c r="T1005" s="897"/>
      <c r="U1005" s="897"/>
      <c r="V1005" s="897"/>
      <c r="W1005" s="897"/>
      <c r="X1005" s="897"/>
      <c r="Y1005" s="897"/>
    </row>
    <row r="1006" spans="1:25">
      <c r="A1006" s="896"/>
      <c r="B1006" s="896"/>
      <c r="C1006" s="896"/>
      <c r="D1006" s="896"/>
      <c r="E1006" s="896"/>
      <c r="R1006" s="897"/>
      <c r="S1006" s="897"/>
      <c r="T1006" s="897"/>
      <c r="U1006" s="897"/>
      <c r="V1006" s="897"/>
      <c r="W1006" s="897"/>
      <c r="X1006" s="897"/>
      <c r="Y1006" s="897"/>
    </row>
    <row r="1007" spans="1:25">
      <c r="A1007" s="896"/>
      <c r="B1007" s="896"/>
      <c r="C1007" s="896"/>
      <c r="D1007" s="896"/>
      <c r="E1007" s="896"/>
      <c r="R1007" s="897"/>
      <c r="S1007" s="897"/>
      <c r="T1007" s="897"/>
      <c r="U1007" s="897"/>
      <c r="V1007" s="897"/>
      <c r="W1007" s="897"/>
      <c r="X1007" s="897"/>
      <c r="Y1007" s="897"/>
    </row>
    <row r="1008" spans="1:25">
      <c r="A1008" s="896"/>
      <c r="B1008" s="896"/>
      <c r="C1008" s="896"/>
      <c r="D1008" s="896"/>
      <c r="E1008" s="896"/>
      <c r="R1008" s="897"/>
      <c r="S1008" s="897"/>
      <c r="T1008" s="897"/>
      <c r="U1008" s="897"/>
      <c r="V1008" s="897"/>
      <c r="W1008" s="897"/>
      <c r="X1008" s="897"/>
      <c r="Y1008" s="897"/>
    </row>
    <row r="1009" spans="1:25">
      <c r="A1009" s="896"/>
      <c r="B1009" s="896"/>
      <c r="C1009" s="896"/>
      <c r="D1009" s="896"/>
      <c r="E1009" s="896"/>
      <c r="R1009" s="897"/>
      <c r="S1009" s="897"/>
      <c r="T1009" s="897"/>
      <c r="U1009" s="897"/>
      <c r="V1009" s="897"/>
      <c r="W1009" s="897"/>
      <c r="X1009" s="897"/>
      <c r="Y1009" s="897"/>
    </row>
    <row r="1010" spans="1:25">
      <c r="A1010" s="896"/>
      <c r="B1010" s="896"/>
      <c r="C1010" s="896"/>
      <c r="D1010" s="896"/>
      <c r="E1010" s="896"/>
      <c r="R1010" s="897"/>
      <c r="S1010" s="897"/>
      <c r="T1010" s="897"/>
      <c r="U1010" s="897"/>
      <c r="V1010" s="897"/>
      <c r="W1010" s="897"/>
      <c r="X1010" s="897"/>
      <c r="Y1010" s="897"/>
    </row>
    <row r="1011" spans="1:25">
      <c r="A1011" s="896"/>
      <c r="B1011" s="896"/>
      <c r="C1011" s="896"/>
      <c r="D1011" s="896"/>
      <c r="E1011" s="896"/>
      <c r="R1011" s="897"/>
      <c r="S1011" s="897"/>
      <c r="T1011" s="897"/>
      <c r="U1011" s="897"/>
      <c r="V1011" s="897"/>
      <c r="W1011" s="897"/>
      <c r="X1011" s="897"/>
      <c r="Y1011" s="897"/>
    </row>
    <row r="1012" spans="1:25">
      <c r="A1012" s="896"/>
      <c r="B1012" s="896"/>
      <c r="C1012" s="896"/>
      <c r="D1012" s="896"/>
      <c r="E1012" s="896"/>
      <c r="R1012" s="897"/>
      <c r="S1012" s="897"/>
      <c r="T1012" s="897"/>
      <c r="U1012" s="897"/>
      <c r="V1012" s="897"/>
      <c r="W1012" s="897"/>
      <c r="X1012" s="897"/>
      <c r="Y1012" s="897"/>
    </row>
    <row r="1013" spans="1:25">
      <c r="A1013" s="896"/>
      <c r="B1013" s="896"/>
      <c r="C1013" s="896"/>
      <c r="D1013" s="896"/>
      <c r="E1013" s="896"/>
      <c r="R1013" s="897"/>
      <c r="S1013" s="897"/>
      <c r="T1013" s="897"/>
      <c r="U1013" s="897"/>
      <c r="V1013" s="897"/>
      <c r="W1013" s="897"/>
      <c r="X1013" s="897"/>
      <c r="Y1013" s="897"/>
    </row>
    <row r="1014" spans="1:25">
      <c r="A1014" s="896"/>
      <c r="B1014" s="896"/>
      <c r="C1014" s="896"/>
      <c r="D1014" s="896"/>
      <c r="E1014" s="896"/>
      <c r="R1014" s="897"/>
      <c r="S1014" s="897"/>
      <c r="T1014" s="897"/>
      <c r="U1014" s="897"/>
      <c r="V1014" s="897"/>
      <c r="W1014" s="897"/>
      <c r="X1014" s="897"/>
      <c r="Y1014" s="897"/>
    </row>
    <row r="1015" spans="1:25">
      <c r="A1015" s="896"/>
      <c r="B1015" s="896"/>
      <c r="C1015" s="896"/>
      <c r="D1015" s="896"/>
      <c r="E1015" s="896"/>
      <c r="R1015" s="897"/>
      <c r="S1015" s="897"/>
      <c r="T1015" s="897"/>
      <c r="U1015" s="897"/>
      <c r="V1015" s="897"/>
      <c r="W1015" s="897"/>
      <c r="X1015" s="897"/>
      <c r="Y1015" s="897"/>
    </row>
    <row r="1016" spans="1:25">
      <c r="A1016" s="896"/>
      <c r="B1016" s="896"/>
      <c r="C1016" s="896"/>
      <c r="D1016" s="896"/>
      <c r="E1016" s="896"/>
      <c r="R1016" s="897"/>
      <c r="S1016" s="897"/>
      <c r="T1016" s="897"/>
      <c r="U1016" s="897"/>
      <c r="V1016" s="897"/>
      <c r="W1016" s="897"/>
      <c r="X1016" s="897"/>
      <c r="Y1016" s="897"/>
    </row>
    <row r="1017" spans="1:25">
      <c r="A1017" s="896"/>
      <c r="B1017" s="896"/>
      <c r="C1017" s="896"/>
      <c r="D1017" s="896"/>
      <c r="E1017" s="896"/>
      <c r="R1017" s="897"/>
      <c r="S1017" s="897"/>
      <c r="T1017" s="897"/>
      <c r="U1017" s="897"/>
      <c r="V1017" s="897"/>
      <c r="W1017" s="897"/>
      <c r="X1017" s="897"/>
      <c r="Y1017" s="897"/>
    </row>
    <row r="1018" spans="1:25">
      <c r="A1018" s="896"/>
      <c r="B1018" s="896"/>
      <c r="C1018" s="896"/>
      <c r="D1018" s="896"/>
      <c r="E1018" s="896"/>
      <c r="R1018" s="897"/>
      <c r="S1018" s="897"/>
      <c r="T1018" s="897"/>
      <c r="U1018" s="897"/>
      <c r="V1018" s="897"/>
      <c r="W1018" s="897"/>
      <c r="X1018" s="897"/>
      <c r="Y1018" s="897"/>
    </row>
    <row r="1019" spans="1:25">
      <c r="A1019" s="896"/>
      <c r="B1019" s="896"/>
      <c r="C1019" s="896"/>
      <c r="D1019" s="896"/>
      <c r="E1019" s="896"/>
      <c r="R1019" s="897"/>
      <c r="S1019" s="897"/>
      <c r="T1019" s="897"/>
      <c r="U1019" s="897"/>
      <c r="V1019" s="897"/>
      <c r="W1019" s="897"/>
      <c r="X1019" s="897"/>
      <c r="Y1019" s="897"/>
    </row>
    <row r="1020" spans="1:25">
      <c r="A1020" s="896"/>
      <c r="B1020" s="896"/>
      <c r="C1020" s="896"/>
      <c r="D1020" s="896"/>
      <c r="E1020" s="896"/>
      <c r="R1020" s="897"/>
      <c r="S1020" s="897"/>
      <c r="T1020" s="897"/>
      <c r="U1020" s="897"/>
      <c r="V1020" s="897"/>
      <c r="W1020" s="897"/>
      <c r="X1020" s="897"/>
      <c r="Y1020" s="897"/>
    </row>
    <row r="1021" spans="1:25">
      <c r="A1021" s="896"/>
      <c r="B1021" s="896"/>
      <c r="C1021" s="896"/>
      <c r="D1021" s="896"/>
      <c r="E1021" s="896"/>
      <c r="R1021" s="897"/>
      <c r="S1021" s="897"/>
      <c r="T1021" s="897"/>
      <c r="U1021" s="897"/>
      <c r="V1021" s="897"/>
      <c r="W1021" s="897"/>
      <c r="X1021" s="897"/>
      <c r="Y1021" s="897"/>
    </row>
    <row r="1022" spans="1:25">
      <c r="A1022" s="896"/>
      <c r="B1022" s="896"/>
      <c r="C1022" s="896"/>
      <c r="D1022" s="896"/>
      <c r="E1022" s="896"/>
      <c r="R1022" s="897"/>
      <c r="S1022" s="897"/>
      <c r="T1022" s="897"/>
      <c r="U1022" s="897"/>
      <c r="V1022" s="897"/>
      <c r="W1022" s="897"/>
      <c r="X1022" s="897"/>
      <c r="Y1022" s="897"/>
    </row>
    <row r="1023" spans="1:25">
      <c r="A1023" s="896"/>
      <c r="B1023" s="896"/>
      <c r="C1023" s="896"/>
      <c r="D1023" s="896"/>
      <c r="E1023" s="896"/>
      <c r="R1023" s="897"/>
      <c r="S1023" s="897"/>
      <c r="T1023" s="897"/>
      <c r="U1023" s="897"/>
      <c r="V1023" s="897"/>
      <c r="W1023" s="897"/>
      <c r="X1023" s="897"/>
      <c r="Y1023" s="897"/>
    </row>
    <row r="1024" spans="1:25">
      <c r="A1024" s="896"/>
      <c r="B1024" s="896"/>
      <c r="C1024" s="896"/>
      <c r="D1024" s="896"/>
      <c r="E1024" s="896"/>
      <c r="R1024" s="897"/>
      <c r="S1024" s="897"/>
      <c r="T1024" s="897"/>
      <c r="U1024" s="897"/>
      <c r="V1024" s="897"/>
      <c r="W1024" s="897"/>
      <c r="X1024" s="897"/>
      <c r="Y1024" s="897"/>
    </row>
    <row r="1025" spans="1:25">
      <c r="A1025" s="896"/>
      <c r="B1025" s="896"/>
      <c r="C1025" s="896"/>
      <c r="D1025" s="896"/>
      <c r="E1025" s="896"/>
      <c r="R1025" s="897"/>
      <c r="S1025" s="897"/>
      <c r="T1025" s="897"/>
      <c r="U1025" s="897"/>
      <c r="V1025" s="897"/>
      <c r="W1025" s="897"/>
      <c r="X1025" s="897"/>
      <c r="Y1025" s="897"/>
    </row>
    <row r="1026" spans="1:25">
      <c r="A1026" s="896"/>
      <c r="B1026" s="896"/>
      <c r="C1026" s="896"/>
      <c r="D1026" s="896"/>
      <c r="E1026" s="896"/>
      <c r="R1026" s="897"/>
      <c r="S1026" s="897"/>
      <c r="T1026" s="897"/>
      <c r="U1026" s="897"/>
      <c r="V1026" s="897"/>
      <c r="W1026" s="897"/>
      <c r="X1026" s="897"/>
      <c r="Y1026" s="897"/>
    </row>
    <row r="1027" spans="1:25">
      <c r="A1027" s="896"/>
      <c r="B1027" s="896"/>
      <c r="C1027" s="896"/>
      <c r="D1027" s="896"/>
      <c r="E1027" s="896"/>
      <c r="R1027" s="897"/>
      <c r="S1027" s="897"/>
      <c r="T1027" s="897"/>
      <c r="U1027" s="897"/>
      <c r="V1027" s="897"/>
      <c r="W1027" s="897"/>
      <c r="X1027" s="897"/>
      <c r="Y1027" s="897"/>
    </row>
    <row r="1028" spans="1:25">
      <c r="A1028" s="896"/>
      <c r="B1028" s="896"/>
      <c r="C1028" s="896"/>
      <c r="D1028" s="896"/>
      <c r="E1028" s="896"/>
      <c r="R1028" s="897"/>
      <c r="S1028" s="897"/>
      <c r="T1028" s="897"/>
      <c r="U1028" s="897"/>
      <c r="V1028" s="897"/>
      <c r="W1028" s="897"/>
      <c r="X1028" s="897"/>
      <c r="Y1028" s="897"/>
    </row>
    <row r="1029" spans="1:25">
      <c r="A1029" s="896"/>
      <c r="B1029" s="896"/>
      <c r="C1029" s="896"/>
      <c r="D1029" s="896"/>
      <c r="E1029" s="896"/>
      <c r="R1029" s="897"/>
      <c r="S1029" s="897"/>
      <c r="T1029" s="897"/>
      <c r="U1029" s="897"/>
      <c r="V1029" s="897"/>
      <c r="W1029" s="897"/>
      <c r="X1029" s="897"/>
      <c r="Y1029" s="897"/>
    </row>
    <row r="1030" spans="1:25">
      <c r="A1030" s="896"/>
      <c r="B1030" s="896"/>
      <c r="C1030" s="896"/>
      <c r="D1030" s="896"/>
      <c r="E1030" s="896"/>
      <c r="R1030" s="897"/>
      <c r="S1030" s="897"/>
      <c r="T1030" s="897"/>
      <c r="U1030" s="897"/>
      <c r="V1030" s="897"/>
      <c r="W1030" s="897"/>
      <c r="X1030" s="897"/>
      <c r="Y1030" s="897"/>
    </row>
    <row r="1031" spans="1:25">
      <c r="A1031" s="896"/>
      <c r="B1031" s="896"/>
      <c r="C1031" s="896"/>
      <c r="D1031" s="896"/>
      <c r="E1031" s="896"/>
      <c r="R1031" s="897"/>
      <c r="S1031" s="897"/>
      <c r="T1031" s="897"/>
      <c r="U1031" s="897"/>
      <c r="V1031" s="897"/>
      <c r="W1031" s="897"/>
      <c r="X1031" s="897"/>
      <c r="Y1031" s="897"/>
    </row>
    <row r="1032" spans="1:25">
      <c r="A1032" s="896"/>
      <c r="B1032" s="896"/>
      <c r="C1032" s="896"/>
      <c r="D1032" s="896"/>
      <c r="E1032" s="896"/>
      <c r="R1032" s="897"/>
      <c r="S1032" s="897"/>
      <c r="T1032" s="897"/>
      <c r="U1032" s="897"/>
      <c r="V1032" s="897"/>
      <c r="W1032" s="897"/>
      <c r="X1032" s="897"/>
      <c r="Y1032" s="897"/>
    </row>
    <row r="1033" spans="1:25">
      <c r="A1033" s="896"/>
      <c r="B1033" s="896"/>
      <c r="C1033" s="896"/>
      <c r="D1033" s="896"/>
      <c r="E1033" s="896"/>
      <c r="R1033" s="897"/>
      <c r="S1033" s="897"/>
      <c r="T1033" s="897"/>
      <c r="U1033" s="897"/>
      <c r="V1033" s="897"/>
      <c r="W1033" s="897"/>
      <c r="X1033" s="897"/>
      <c r="Y1033" s="897"/>
    </row>
    <row r="1034" spans="1:25">
      <c r="A1034" s="896"/>
      <c r="B1034" s="896"/>
      <c r="C1034" s="896"/>
      <c r="D1034" s="896"/>
      <c r="E1034" s="896"/>
      <c r="R1034" s="897"/>
      <c r="S1034" s="897"/>
      <c r="T1034" s="897"/>
      <c r="U1034" s="897"/>
      <c r="V1034" s="897"/>
      <c r="W1034" s="897"/>
      <c r="X1034" s="897"/>
      <c r="Y1034" s="897"/>
    </row>
    <row r="1035" spans="1:25">
      <c r="A1035" s="896"/>
      <c r="B1035" s="896"/>
      <c r="C1035" s="896"/>
      <c r="D1035" s="896"/>
      <c r="E1035" s="896"/>
      <c r="R1035" s="897"/>
      <c r="S1035" s="897"/>
      <c r="T1035" s="897"/>
      <c r="U1035" s="897"/>
      <c r="V1035" s="897"/>
      <c r="W1035" s="897"/>
      <c r="X1035" s="897"/>
      <c r="Y1035" s="897"/>
    </row>
    <row r="1036" spans="1:25">
      <c r="A1036" s="896"/>
      <c r="B1036" s="896"/>
      <c r="C1036" s="896"/>
      <c r="D1036" s="896"/>
      <c r="E1036" s="896"/>
      <c r="R1036" s="897"/>
      <c r="S1036" s="897"/>
      <c r="T1036" s="897"/>
      <c r="U1036" s="897"/>
      <c r="V1036" s="897"/>
      <c r="W1036" s="897"/>
      <c r="X1036" s="897"/>
      <c r="Y1036" s="897"/>
    </row>
    <row r="1037" spans="1:25">
      <c r="A1037" s="896"/>
      <c r="B1037" s="896"/>
      <c r="C1037" s="896"/>
      <c r="D1037" s="896"/>
      <c r="E1037" s="896"/>
      <c r="R1037" s="897"/>
      <c r="S1037" s="897"/>
      <c r="T1037" s="897"/>
      <c r="U1037" s="897"/>
      <c r="V1037" s="897"/>
      <c r="W1037" s="897"/>
      <c r="X1037" s="897"/>
      <c r="Y1037" s="897"/>
    </row>
    <row r="1038" spans="1:25">
      <c r="A1038" s="896"/>
      <c r="B1038" s="896"/>
      <c r="C1038" s="896"/>
      <c r="D1038" s="896"/>
      <c r="E1038" s="896"/>
      <c r="R1038" s="897"/>
      <c r="S1038" s="897"/>
      <c r="T1038" s="897"/>
      <c r="U1038" s="897"/>
      <c r="V1038" s="897"/>
      <c r="W1038" s="897"/>
      <c r="X1038" s="897"/>
      <c r="Y1038" s="897"/>
    </row>
    <row r="1039" spans="1:25">
      <c r="A1039" s="896"/>
      <c r="B1039" s="896"/>
      <c r="C1039" s="896"/>
      <c r="D1039" s="896"/>
      <c r="E1039" s="896"/>
      <c r="R1039" s="897"/>
      <c r="S1039" s="897"/>
      <c r="T1039" s="897"/>
      <c r="U1039" s="897"/>
      <c r="V1039" s="897"/>
      <c r="W1039" s="897"/>
      <c r="X1039" s="897"/>
      <c r="Y1039" s="897"/>
    </row>
    <row r="1040" spans="1:25">
      <c r="A1040" s="896"/>
      <c r="B1040" s="896"/>
      <c r="C1040" s="896"/>
      <c r="D1040" s="896"/>
      <c r="E1040" s="896"/>
      <c r="R1040" s="897"/>
      <c r="S1040" s="897"/>
      <c r="T1040" s="897"/>
      <c r="U1040" s="897"/>
      <c r="V1040" s="897"/>
      <c r="W1040" s="897"/>
      <c r="X1040" s="897"/>
      <c r="Y1040" s="897"/>
    </row>
    <row r="1041" spans="1:25">
      <c r="A1041" s="896"/>
      <c r="B1041" s="896"/>
      <c r="C1041" s="896"/>
      <c r="D1041" s="896"/>
      <c r="E1041" s="896"/>
      <c r="R1041" s="897"/>
      <c r="S1041" s="897"/>
      <c r="T1041" s="897"/>
      <c r="U1041" s="897"/>
      <c r="V1041" s="897"/>
      <c r="W1041" s="897"/>
      <c r="X1041" s="897"/>
      <c r="Y1041" s="897"/>
    </row>
    <row r="1042" spans="1:25">
      <c r="A1042" s="896"/>
      <c r="B1042" s="896"/>
      <c r="C1042" s="896"/>
      <c r="D1042" s="896"/>
      <c r="E1042" s="896"/>
      <c r="R1042" s="897"/>
      <c r="S1042" s="897"/>
      <c r="T1042" s="897"/>
      <c r="U1042" s="897"/>
      <c r="V1042" s="897"/>
      <c r="W1042" s="897"/>
      <c r="X1042" s="897"/>
      <c r="Y1042" s="897"/>
    </row>
    <row r="1043" spans="1:25">
      <c r="A1043" s="896"/>
      <c r="B1043" s="896"/>
      <c r="C1043" s="896"/>
      <c r="D1043" s="896"/>
      <c r="E1043" s="896"/>
      <c r="R1043" s="897"/>
      <c r="S1043" s="897"/>
      <c r="T1043" s="897"/>
      <c r="U1043" s="897"/>
      <c r="V1043" s="897"/>
      <c r="W1043" s="897"/>
      <c r="X1043" s="897"/>
      <c r="Y1043" s="897"/>
    </row>
    <row r="1044" spans="1:25">
      <c r="A1044" s="896"/>
      <c r="B1044" s="896"/>
      <c r="C1044" s="896"/>
      <c r="D1044" s="896"/>
      <c r="E1044" s="896"/>
      <c r="R1044" s="897"/>
      <c r="S1044" s="897"/>
      <c r="T1044" s="897"/>
      <c r="U1044" s="897"/>
      <c r="V1044" s="897"/>
      <c r="W1044" s="897"/>
      <c r="X1044" s="897"/>
      <c r="Y1044" s="897"/>
    </row>
    <row r="1045" spans="1:25">
      <c r="A1045" s="896"/>
      <c r="B1045" s="896"/>
      <c r="C1045" s="896"/>
      <c r="D1045" s="896"/>
      <c r="E1045" s="896"/>
      <c r="R1045" s="897"/>
      <c r="S1045" s="897"/>
      <c r="T1045" s="897"/>
      <c r="U1045" s="897"/>
      <c r="V1045" s="897"/>
      <c r="W1045" s="897"/>
      <c r="X1045" s="897"/>
      <c r="Y1045" s="897"/>
    </row>
    <row r="1046" spans="1:25">
      <c r="A1046" s="896"/>
      <c r="B1046" s="896"/>
      <c r="C1046" s="896"/>
      <c r="D1046" s="896"/>
      <c r="E1046" s="896"/>
      <c r="R1046" s="897"/>
      <c r="S1046" s="897"/>
      <c r="T1046" s="897"/>
      <c r="U1046" s="897"/>
      <c r="V1046" s="897"/>
      <c r="W1046" s="897"/>
      <c r="X1046" s="897"/>
      <c r="Y1046" s="897"/>
    </row>
    <row r="1047" spans="1:25">
      <c r="A1047" s="896"/>
      <c r="B1047" s="896"/>
      <c r="C1047" s="896"/>
      <c r="D1047" s="896"/>
      <c r="E1047" s="896"/>
      <c r="R1047" s="897"/>
      <c r="S1047" s="897"/>
      <c r="T1047" s="897"/>
      <c r="U1047" s="897"/>
      <c r="V1047" s="897"/>
      <c r="W1047" s="897"/>
      <c r="X1047" s="897"/>
      <c r="Y1047" s="897"/>
    </row>
    <row r="1048" spans="1:25">
      <c r="A1048" s="896"/>
      <c r="B1048" s="896"/>
      <c r="C1048" s="896"/>
      <c r="D1048" s="896"/>
      <c r="E1048" s="896"/>
      <c r="R1048" s="897"/>
      <c r="S1048" s="897"/>
      <c r="T1048" s="897"/>
      <c r="U1048" s="897"/>
      <c r="V1048" s="897"/>
      <c r="W1048" s="897"/>
      <c r="X1048" s="897"/>
      <c r="Y1048" s="897"/>
    </row>
    <row r="1049" spans="1:25">
      <c r="A1049" s="896"/>
      <c r="B1049" s="896"/>
      <c r="C1049" s="896"/>
      <c r="D1049" s="896"/>
      <c r="E1049" s="896"/>
      <c r="R1049" s="897"/>
      <c r="S1049" s="897"/>
      <c r="T1049" s="897"/>
      <c r="U1049" s="897"/>
      <c r="V1049" s="897"/>
      <c r="W1049" s="897"/>
      <c r="X1049" s="897"/>
      <c r="Y1049" s="897"/>
    </row>
    <row r="1050" spans="1:25">
      <c r="A1050" s="896"/>
      <c r="B1050" s="896"/>
      <c r="C1050" s="896"/>
      <c r="D1050" s="896"/>
      <c r="E1050" s="896"/>
      <c r="R1050" s="897"/>
      <c r="S1050" s="897"/>
      <c r="T1050" s="897"/>
      <c r="U1050" s="897"/>
      <c r="V1050" s="897"/>
      <c r="W1050" s="897"/>
      <c r="X1050" s="897"/>
      <c r="Y1050" s="897"/>
    </row>
    <row r="1051" spans="1:25">
      <c r="A1051" s="896"/>
      <c r="B1051" s="896"/>
      <c r="C1051" s="896"/>
      <c r="D1051" s="896"/>
      <c r="E1051" s="896"/>
      <c r="R1051" s="897"/>
      <c r="S1051" s="897"/>
      <c r="T1051" s="897"/>
      <c r="U1051" s="897"/>
      <c r="V1051" s="897"/>
      <c r="W1051" s="897"/>
      <c r="X1051" s="897"/>
      <c r="Y1051" s="897"/>
    </row>
    <row r="1052" spans="1:25">
      <c r="A1052" s="896"/>
      <c r="B1052" s="896"/>
      <c r="C1052" s="896"/>
      <c r="D1052" s="896"/>
      <c r="E1052" s="896"/>
      <c r="R1052" s="897"/>
      <c r="S1052" s="897"/>
      <c r="T1052" s="897"/>
      <c r="U1052" s="897"/>
      <c r="V1052" s="897"/>
      <c r="W1052" s="897"/>
      <c r="X1052" s="897"/>
      <c r="Y1052" s="897"/>
    </row>
    <row r="1053" spans="1:25">
      <c r="A1053" s="896"/>
      <c r="B1053" s="896"/>
      <c r="C1053" s="896"/>
      <c r="D1053" s="896"/>
      <c r="E1053" s="896"/>
      <c r="R1053" s="897"/>
      <c r="S1053" s="897"/>
      <c r="T1053" s="897"/>
      <c r="U1053" s="897"/>
      <c r="V1053" s="897"/>
      <c r="W1053" s="897"/>
      <c r="X1053" s="897"/>
      <c r="Y1053" s="897"/>
    </row>
    <row r="1054" spans="1:25">
      <c r="A1054" s="896"/>
      <c r="B1054" s="896"/>
      <c r="C1054" s="896"/>
      <c r="D1054" s="896"/>
      <c r="E1054" s="896"/>
      <c r="R1054" s="897"/>
      <c r="S1054" s="897"/>
      <c r="T1054" s="897"/>
      <c r="U1054" s="897"/>
      <c r="V1054" s="897"/>
      <c r="W1054" s="897"/>
      <c r="X1054" s="897"/>
      <c r="Y1054" s="897"/>
    </row>
    <row r="1055" spans="1:25">
      <c r="A1055" s="896"/>
      <c r="B1055" s="896"/>
      <c r="C1055" s="896"/>
      <c r="D1055" s="896"/>
      <c r="E1055" s="896"/>
      <c r="R1055" s="897"/>
      <c r="S1055" s="897"/>
      <c r="T1055" s="897"/>
      <c r="U1055" s="897"/>
      <c r="V1055" s="897"/>
      <c r="W1055" s="897"/>
      <c r="X1055" s="897"/>
      <c r="Y1055" s="897"/>
    </row>
    <row r="1056" spans="1:25">
      <c r="A1056" s="896"/>
      <c r="B1056" s="896"/>
      <c r="C1056" s="896"/>
      <c r="D1056" s="896"/>
      <c r="E1056" s="896"/>
      <c r="R1056" s="897"/>
      <c r="S1056" s="897"/>
      <c r="T1056" s="897"/>
      <c r="U1056" s="897"/>
      <c r="V1056" s="897"/>
      <c r="W1056" s="897"/>
      <c r="X1056" s="897"/>
      <c r="Y1056" s="897"/>
    </row>
    <row r="1057" spans="1:25">
      <c r="A1057" s="896"/>
      <c r="B1057" s="896"/>
      <c r="C1057" s="896"/>
      <c r="D1057" s="896"/>
      <c r="E1057" s="896"/>
      <c r="R1057" s="897"/>
      <c r="S1057" s="897"/>
      <c r="T1057" s="897"/>
      <c r="U1057" s="897"/>
      <c r="V1057" s="897"/>
      <c r="W1057" s="897"/>
      <c r="X1057" s="897"/>
      <c r="Y1057" s="897"/>
    </row>
    <row r="1058" spans="1:25">
      <c r="A1058" s="896"/>
      <c r="B1058" s="896"/>
      <c r="C1058" s="896"/>
      <c r="D1058" s="896"/>
      <c r="E1058" s="896"/>
      <c r="R1058" s="897"/>
      <c r="S1058" s="897"/>
      <c r="T1058" s="897"/>
      <c r="U1058" s="897"/>
      <c r="V1058" s="897"/>
      <c r="W1058" s="897"/>
      <c r="X1058" s="897"/>
      <c r="Y1058" s="897"/>
    </row>
    <row r="1059" spans="1:25">
      <c r="A1059" s="896"/>
      <c r="B1059" s="896"/>
      <c r="C1059" s="896"/>
      <c r="D1059" s="896"/>
      <c r="E1059" s="896"/>
      <c r="R1059" s="897"/>
      <c r="S1059" s="897"/>
      <c r="T1059" s="897"/>
      <c r="U1059" s="897"/>
      <c r="V1059" s="897"/>
      <c r="W1059" s="897"/>
      <c r="X1059" s="897"/>
      <c r="Y1059" s="897"/>
    </row>
    <row r="1060" spans="1:25">
      <c r="A1060" s="896"/>
      <c r="B1060" s="896"/>
      <c r="C1060" s="896"/>
      <c r="D1060" s="896"/>
      <c r="E1060" s="896"/>
      <c r="R1060" s="897"/>
      <c r="S1060" s="897"/>
      <c r="T1060" s="897"/>
      <c r="U1060" s="897"/>
      <c r="V1060" s="897"/>
      <c r="W1060" s="897"/>
      <c r="X1060" s="897"/>
      <c r="Y1060" s="897"/>
    </row>
    <row r="1061" spans="1:25">
      <c r="A1061" s="896"/>
      <c r="B1061" s="896"/>
      <c r="C1061" s="896"/>
      <c r="D1061" s="896"/>
      <c r="E1061" s="896"/>
      <c r="R1061" s="897"/>
      <c r="S1061" s="897"/>
      <c r="T1061" s="897"/>
      <c r="U1061" s="897"/>
      <c r="V1061" s="897"/>
      <c r="W1061" s="897"/>
      <c r="X1061" s="897"/>
      <c r="Y1061" s="897"/>
    </row>
    <row r="1062" spans="1:25">
      <c r="A1062" s="896"/>
      <c r="B1062" s="896"/>
      <c r="C1062" s="896"/>
      <c r="D1062" s="896"/>
      <c r="E1062" s="896"/>
      <c r="R1062" s="897"/>
      <c r="S1062" s="897"/>
      <c r="T1062" s="897"/>
      <c r="U1062" s="897"/>
      <c r="V1062" s="897"/>
      <c r="W1062" s="897"/>
      <c r="X1062" s="897"/>
      <c r="Y1062" s="897"/>
    </row>
    <row r="1063" spans="1:25">
      <c r="A1063" s="896"/>
      <c r="B1063" s="896"/>
      <c r="C1063" s="896"/>
      <c r="D1063" s="896"/>
      <c r="E1063" s="896"/>
      <c r="R1063" s="897"/>
      <c r="S1063" s="897"/>
      <c r="T1063" s="897"/>
      <c r="U1063" s="897"/>
      <c r="V1063" s="897"/>
      <c r="W1063" s="897"/>
      <c r="X1063" s="897"/>
      <c r="Y1063" s="897"/>
    </row>
    <row r="1064" spans="1:25">
      <c r="A1064" s="896"/>
      <c r="B1064" s="896"/>
      <c r="C1064" s="896"/>
      <c r="D1064" s="896"/>
      <c r="E1064" s="896"/>
      <c r="R1064" s="897"/>
      <c r="S1064" s="897"/>
      <c r="T1064" s="897"/>
      <c r="U1064" s="897"/>
      <c r="V1064" s="897"/>
      <c r="W1064" s="897"/>
      <c r="X1064" s="897"/>
      <c r="Y1064" s="897"/>
    </row>
    <row r="1065" spans="1:25">
      <c r="A1065" s="896"/>
      <c r="B1065" s="896"/>
      <c r="C1065" s="896"/>
      <c r="D1065" s="896"/>
      <c r="E1065" s="896"/>
      <c r="R1065" s="897"/>
      <c r="S1065" s="897"/>
      <c r="T1065" s="897"/>
      <c r="U1065" s="897"/>
      <c r="V1065" s="897"/>
      <c r="W1065" s="897"/>
      <c r="X1065" s="897"/>
      <c r="Y1065" s="897"/>
    </row>
    <row r="1066" spans="1:25">
      <c r="A1066" s="896"/>
      <c r="B1066" s="896"/>
      <c r="C1066" s="896"/>
      <c r="D1066" s="896"/>
      <c r="E1066" s="896"/>
      <c r="R1066" s="897"/>
      <c r="S1066" s="897"/>
      <c r="T1066" s="897"/>
      <c r="U1066" s="897"/>
      <c r="V1066" s="897"/>
      <c r="W1066" s="897"/>
      <c r="X1066" s="897"/>
      <c r="Y1066" s="897"/>
    </row>
    <row r="1067" spans="1:25">
      <c r="A1067" s="896"/>
      <c r="B1067" s="896"/>
      <c r="C1067" s="896"/>
      <c r="D1067" s="896"/>
      <c r="E1067" s="896"/>
      <c r="R1067" s="897"/>
      <c r="S1067" s="897"/>
      <c r="T1067" s="897"/>
      <c r="U1067" s="897"/>
      <c r="V1067" s="897"/>
      <c r="W1067" s="897"/>
      <c r="X1067" s="897"/>
      <c r="Y1067" s="897"/>
    </row>
    <row r="1068" spans="1:25">
      <c r="A1068" s="896"/>
      <c r="B1068" s="896"/>
      <c r="C1068" s="896"/>
      <c r="D1068" s="896"/>
      <c r="E1068" s="896"/>
      <c r="R1068" s="897"/>
      <c r="S1068" s="897"/>
      <c r="T1068" s="897"/>
      <c r="U1068" s="897"/>
      <c r="V1068" s="897"/>
      <c r="W1068" s="897"/>
      <c r="X1068" s="897"/>
      <c r="Y1068" s="897"/>
    </row>
    <row r="1069" spans="1:25">
      <c r="A1069" s="896"/>
      <c r="B1069" s="896"/>
      <c r="C1069" s="896"/>
      <c r="D1069" s="896"/>
      <c r="E1069" s="896"/>
      <c r="R1069" s="897"/>
      <c r="S1069" s="897"/>
      <c r="T1069" s="897"/>
      <c r="U1069" s="897"/>
      <c r="V1069" s="897"/>
      <c r="W1069" s="897"/>
      <c r="X1069" s="897"/>
      <c r="Y1069" s="897"/>
    </row>
    <row r="1070" spans="1:25">
      <c r="A1070" s="896"/>
      <c r="B1070" s="896"/>
      <c r="C1070" s="896"/>
      <c r="D1070" s="896"/>
      <c r="E1070" s="896"/>
      <c r="R1070" s="897"/>
      <c r="S1070" s="897"/>
      <c r="T1070" s="897"/>
      <c r="U1070" s="897"/>
      <c r="V1070" s="897"/>
      <c r="W1070" s="897"/>
      <c r="X1070" s="897"/>
      <c r="Y1070" s="897"/>
    </row>
    <row r="1071" spans="1:25">
      <c r="A1071" s="896"/>
      <c r="B1071" s="896"/>
      <c r="C1071" s="896"/>
      <c r="D1071" s="896"/>
      <c r="E1071" s="896"/>
      <c r="R1071" s="897"/>
      <c r="S1071" s="897"/>
      <c r="T1071" s="897"/>
      <c r="U1071" s="897"/>
      <c r="V1071" s="897"/>
      <c r="W1071" s="897"/>
      <c r="X1071" s="897"/>
      <c r="Y1071" s="897"/>
    </row>
    <row r="1072" spans="1:25">
      <c r="A1072" s="896"/>
      <c r="B1072" s="896"/>
      <c r="C1072" s="896"/>
      <c r="D1072" s="896"/>
      <c r="E1072" s="896"/>
      <c r="R1072" s="897"/>
      <c r="S1072" s="897"/>
      <c r="T1072" s="897"/>
      <c r="U1072" s="897"/>
      <c r="V1072" s="897"/>
      <c r="W1072" s="897"/>
      <c r="X1072" s="897"/>
      <c r="Y1072" s="897"/>
    </row>
    <row r="1073" spans="1:25">
      <c r="A1073" s="896"/>
      <c r="B1073" s="896"/>
      <c r="C1073" s="896"/>
      <c r="D1073" s="896"/>
      <c r="E1073" s="896"/>
      <c r="R1073" s="897"/>
      <c r="S1073" s="897"/>
      <c r="T1073" s="897"/>
      <c r="U1073" s="897"/>
      <c r="V1073" s="897"/>
      <c r="W1073" s="897"/>
      <c r="X1073" s="897"/>
      <c r="Y1073" s="897"/>
    </row>
    <row r="1074" spans="1:25">
      <c r="A1074" s="896"/>
      <c r="B1074" s="896"/>
      <c r="C1074" s="896"/>
      <c r="D1074" s="896"/>
      <c r="E1074" s="896"/>
      <c r="R1074" s="897"/>
      <c r="S1074" s="897"/>
      <c r="T1074" s="897"/>
      <c r="U1074" s="897"/>
      <c r="V1074" s="897"/>
      <c r="W1074" s="897"/>
      <c r="X1074" s="897"/>
      <c r="Y1074" s="897"/>
    </row>
    <row r="1075" spans="1:25">
      <c r="A1075" s="896"/>
      <c r="B1075" s="896"/>
      <c r="C1075" s="896"/>
      <c r="D1075" s="896"/>
      <c r="E1075" s="896"/>
      <c r="R1075" s="897"/>
      <c r="S1075" s="897"/>
      <c r="T1075" s="897"/>
      <c r="U1075" s="897"/>
      <c r="V1075" s="897"/>
      <c r="W1075" s="897"/>
      <c r="X1075" s="897"/>
      <c r="Y1075" s="897"/>
    </row>
    <row r="1076" spans="1:25">
      <c r="A1076" s="896"/>
      <c r="B1076" s="896"/>
      <c r="C1076" s="896"/>
      <c r="D1076" s="896"/>
      <c r="E1076" s="896"/>
      <c r="R1076" s="897"/>
      <c r="S1076" s="897"/>
      <c r="T1076" s="897"/>
      <c r="U1076" s="897"/>
      <c r="V1076" s="897"/>
      <c r="W1076" s="897"/>
      <c r="X1076" s="897"/>
      <c r="Y1076" s="897"/>
    </row>
    <row r="1077" spans="1:25">
      <c r="A1077" s="896"/>
      <c r="B1077" s="896"/>
      <c r="C1077" s="896"/>
      <c r="D1077" s="896"/>
      <c r="E1077" s="896"/>
      <c r="R1077" s="897"/>
      <c r="S1077" s="897"/>
      <c r="T1077" s="897"/>
      <c r="U1077" s="897"/>
      <c r="V1077" s="897"/>
      <c r="W1077" s="897"/>
      <c r="X1077" s="897"/>
      <c r="Y1077" s="897"/>
    </row>
    <row r="1078" spans="1:25">
      <c r="A1078" s="896"/>
      <c r="B1078" s="896"/>
      <c r="C1078" s="896"/>
      <c r="D1078" s="896"/>
      <c r="E1078" s="896"/>
      <c r="R1078" s="897"/>
      <c r="S1078" s="897"/>
      <c r="T1078" s="897"/>
      <c r="U1078" s="897"/>
      <c r="V1078" s="897"/>
      <c r="W1078" s="897"/>
      <c r="X1078" s="897"/>
      <c r="Y1078" s="897"/>
    </row>
    <row r="1079" spans="1:25">
      <c r="A1079" s="896"/>
      <c r="B1079" s="896"/>
      <c r="C1079" s="896"/>
      <c r="D1079" s="896"/>
      <c r="E1079" s="896"/>
      <c r="R1079" s="897"/>
      <c r="S1079" s="897"/>
      <c r="T1079" s="897"/>
      <c r="U1079" s="897"/>
      <c r="V1079" s="897"/>
      <c r="W1079" s="897"/>
      <c r="X1079" s="897"/>
      <c r="Y1079" s="897"/>
    </row>
    <row r="1080" spans="1:25">
      <c r="A1080" s="896"/>
      <c r="B1080" s="896"/>
      <c r="C1080" s="896"/>
      <c r="D1080" s="896"/>
      <c r="E1080" s="896"/>
      <c r="R1080" s="897"/>
      <c r="S1080" s="897"/>
      <c r="T1080" s="897"/>
      <c r="U1080" s="897"/>
      <c r="V1080" s="897"/>
      <c r="W1080" s="897"/>
      <c r="X1080" s="897"/>
      <c r="Y1080" s="897"/>
    </row>
    <row r="1081" spans="1:25">
      <c r="A1081" s="896"/>
      <c r="B1081" s="896"/>
      <c r="C1081" s="896"/>
      <c r="D1081" s="896"/>
      <c r="E1081" s="896"/>
      <c r="R1081" s="897"/>
      <c r="S1081" s="897"/>
      <c r="T1081" s="897"/>
      <c r="U1081" s="897"/>
      <c r="V1081" s="897"/>
      <c r="W1081" s="897"/>
      <c r="X1081" s="897"/>
      <c r="Y1081" s="897"/>
    </row>
    <row r="1082" spans="1:25">
      <c r="A1082" s="896"/>
      <c r="B1082" s="896"/>
      <c r="C1082" s="896"/>
      <c r="D1082" s="896"/>
      <c r="E1082" s="896"/>
      <c r="R1082" s="897"/>
      <c r="S1082" s="897"/>
      <c r="T1082" s="897"/>
      <c r="U1082" s="897"/>
      <c r="V1082" s="897"/>
      <c r="W1082" s="897"/>
      <c r="X1082" s="897"/>
      <c r="Y1082" s="897"/>
    </row>
    <row r="1083" spans="1:25">
      <c r="A1083" s="896"/>
      <c r="B1083" s="896"/>
      <c r="C1083" s="896"/>
      <c r="D1083" s="896"/>
      <c r="E1083" s="896"/>
      <c r="R1083" s="897"/>
      <c r="S1083" s="897"/>
      <c r="T1083" s="897"/>
      <c r="U1083" s="897"/>
      <c r="V1083" s="897"/>
      <c r="W1083" s="897"/>
      <c r="X1083" s="897"/>
      <c r="Y1083" s="897"/>
    </row>
    <row r="1084" spans="1:25">
      <c r="A1084" s="896"/>
      <c r="B1084" s="896"/>
      <c r="C1084" s="896"/>
      <c r="D1084" s="896"/>
      <c r="E1084" s="896"/>
      <c r="R1084" s="897"/>
      <c r="S1084" s="897"/>
      <c r="T1084" s="897"/>
      <c r="U1084" s="897"/>
      <c r="V1084" s="897"/>
      <c r="W1084" s="897"/>
      <c r="X1084" s="897"/>
      <c r="Y1084" s="897"/>
    </row>
    <row r="1085" spans="1:25">
      <c r="A1085" s="896"/>
      <c r="B1085" s="896"/>
      <c r="C1085" s="896"/>
      <c r="D1085" s="896"/>
      <c r="E1085" s="896"/>
      <c r="R1085" s="897"/>
      <c r="S1085" s="897"/>
      <c r="T1085" s="897"/>
      <c r="U1085" s="897"/>
      <c r="V1085" s="897"/>
      <c r="W1085" s="897"/>
      <c r="X1085" s="897"/>
      <c r="Y1085" s="897"/>
    </row>
    <row r="1086" spans="1:25">
      <c r="A1086" s="896"/>
      <c r="B1086" s="896"/>
      <c r="C1086" s="896"/>
      <c r="D1086" s="896"/>
      <c r="E1086" s="896"/>
      <c r="R1086" s="897"/>
      <c r="S1086" s="897"/>
      <c r="T1086" s="897"/>
      <c r="U1086" s="897"/>
      <c r="V1086" s="897"/>
      <c r="W1086" s="897"/>
      <c r="X1086" s="897"/>
      <c r="Y1086" s="897"/>
    </row>
    <row r="1087" spans="1:25">
      <c r="A1087" s="896"/>
      <c r="B1087" s="896"/>
      <c r="C1087" s="896"/>
      <c r="D1087" s="896"/>
      <c r="E1087" s="896"/>
      <c r="R1087" s="897"/>
      <c r="S1087" s="897"/>
      <c r="T1087" s="897"/>
      <c r="U1087" s="897"/>
      <c r="V1087" s="897"/>
      <c r="W1087" s="897"/>
      <c r="X1087" s="897"/>
      <c r="Y1087" s="897"/>
    </row>
    <row r="1088" spans="1:25">
      <c r="A1088" s="896"/>
      <c r="B1088" s="896"/>
      <c r="C1088" s="896"/>
      <c r="D1088" s="896"/>
      <c r="E1088" s="896"/>
      <c r="R1088" s="897"/>
      <c r="S1088" s="897"/>
      <c r="T1088" s="897"/>
      <c r="U1088" s="897"/>
      <c r="V1088" s="897"/>
      <c r="W1088" s="897"/>
      <c r="X1088" s="897"/>
      <c r="Y1088" s="897"/>
    </row>
    <row r="1089" spans="1:25">
      <c r="A1089" s="896"/>
      <c r="B1089" s="896"/>
      <c r="C1089" s="896"/>
      <c r="D1089" s="896"/>
      <c r="E1089" s="896"/>
      <c r="R1089" s="897"/>
      <c r="S1089" s="897"/>
      <c r="T1089" s="897"/>
      <c r="U1089" s="897"/>
      <c r="V1089" s="897"/>
      <c r="W1089" s="897"/>
      <c r="X1089" s="897"/>
      <c r="Y1089" s="897"/>
    </row>
    <row r="1090" spans="1:25">
      <c r="A1090" s="896"/>
      <c r="B1090" s="896"/>
      <c r="C1090" s="896"/>
      <c r="D1090" s="896"/>
      <c r="E1090" s="896"/>
      <c r="R1090" s="897"/>
      <c r="S1090" s="897"/>
      <c r="T1090" s="897"/>
      <c r="U1090" s="897"/>
      <c r="V1090" s="897"/>
      <c r="W1090" s="897"/>
      <c r="X1090" s="897"/>
      <c r="Y1090" s="897"/>
    </row>
    <row r="1091" spans="1:25">
      <c r="A1091" s="896"/>
      <c r="B1091" s="896"/>
      <c r="C1091" s="896"/>
      <c r="D1091" s="896"/>
      <c r="E1091" s="896"/>
      <c r="R1091" s="897"/>
      <c r="S1091" s="897"/>
      <c r="T1091" s="897"/>
      <c r="U1091" s="897"/>
      <c r="V1091" s="897"/>
      <c r="W1091" s="897"/>
      <c r="X1091" s="897"/>
      <c r="Y1091" s="897"/>
    </row>
    <row r="1092" spans="1:25">
      <c r="A1092" s="896"/>
      <c r="B1092" s="896"/>
      <c r="C1092" s="896"/>
      <c r="D1092" s="896"/>
      <c r="E1092" s="896"/>
      <c r="R1092" s="897"/>
      <c r="S1092" s="897"/>
      <c r="T1092" s="897"/>
      <c r="U1092" s="897"/>
      <c r="V1092" s="897"/>
      <c r="W1092" s="897"/>
      <c r="X1092" s="897"/>
      <c r="Y1092" s="897"/>
    </row>
    <row r="1093" spans="1:25">
      <c r="A1093" s="896"/>
      <c r="B1093" s="896"/>
      <c r="C1093" s="896"/>
      <c r="D1093" s="896"/>
      <c r="E1093" s="896"/>
      <c r="R1093" s="897"/>
      <c r="S1093" s="897"/>
      <c r="T1093" s="897"/>
      <c r="U1093" s="897"/>
      <c r="V1093" s="897"/>
      <c r="W1093" s="897"/>
      <c r="X1093" s="897"/>
      <c r="Y1093" s="897"/>
    </row>
    <row r="1094" spans="1:25">
      <c r="A1094" s="896"/>
      <c r="B1094" s="896"/>
      <c r="C1094" s="896"/>
      <c r="D1094" s="896"/>
      <c r="E1094" s="896"/>
      <c r="R1094" s="897"/>
      <c r="S1094" s="897"/>
      <c r="T1094" s="897"/>
      <c r="U1094" s="897"/>
      <c r="V1094" s="897"/>
      <c r="W1094" s="897"/>
      <c r="X1094" s="897"/>
      <c r="Y1094" s="897"/>
    </row>
    <row r="1095" spans="1:25">
      <c r="A1095" s="896"/>
      <c r="B1095" s="896"/>
      <c r="C1095" s="896"/>
      <c r="D1095" s="896"/>
      <c r="E1095" s="896"/>
      <c r="R1095" s="897"/>
      <c r="S1095" s="897"/>
      <c r="T1095" s="897"/>
      <c r="U1095" s="897"/>
      <c r="V1095" s="897"/>
      <c r="W1095" s="897"/>
      <c r="X1095" s="897"/>
      <c r="Y1095" s="897"/>
    </row>
    <row r="1096" spans="1:25">
      <c r="A1096" s="896"/>
      <c r="B1096" s="896"/>
      <c r="C1096" s="896"/>
      <c r="D1096" s="896"/>
      <c r="E1096" s="896"/>
      <c r="R1096" s="897"/>
      <c r="S1096" s="897"/>
      <c r="T1096" s="897"/>
      <c r="U1096" s="897"/>
      <c r="V1096" s="897"/>
      <c r="W1096" s="897"/>
      <c r="X1096" s="897"/>
      <c r="Y1096" s="897"/>
    </row>
    <row r="1097" spans="1:25">
      <c r="A1097" s="896"/>
      <c r="B1097" s="896"/>
      <c r="C1097" s="896"/>
      <c r="D1097" s="896"/>
      <c r="E1097" s="896"/>
      <c r="R1097" s="897"/>
      <c r="S1097" s="897"/>
      <c r="T1097" s="897"/>
      <c r="U1097" s="897"/>
      <c r="V1097" s="897"/>
      <c r="W1097" s="897"/>
      <c r="X1097" s="897"/>
      <c r="Y1097" s="897"/>
    </row>
    <row r="1098" spans="1:25">
      <c r="A1098" s="896"/>
      <c r="B1098" s="896"/>
      <c r="C1098" s="896"/>
      <c r="D1098" s="896"/>
      <c r="E1098" s="896"/>
      <c r="R1098" s="897"/>
      <c r="S1098" s="897"/>
      <c r="T1098" s="897"/>
      <c r="U1098" s="897"/>
      <c r="V1098" s="897"/>
      <c r="W1098" s="897"/>
      <c r="X1098" s="897"/>
      <c r="Y1098" s="897"/>
    </row>
    <row r="1099" spans="1:25">
      <c r="A1099" s="896"/>
      <c r="B1099" s="896"/>
      <c r="C1099" s="896"/>
      <c r="D1099" s="896"/>
      <c r="E1099" s="896"/>
      <c r="R1099" s="897"/>
      <c r="S1099" s="897"/>
      <c r="T1099" s="897"/>
      <c r="U1099" s="897"/>
      <c r="V1099" s="897"/>
      <c r="W1099" s="897"/>
      <c r="X1099" s="897"/>
      <c r="Y1099" s="897"/>
    </row>
    <row r="1100" spans="1:25">
      <c r="A1100" s="896"/>
      <c r="B1100" s="896"/>
      <c r="C1100" s="896"/>
      <c r="D1100" s="896"/>
      <c r="E1100" s="896"/>
      <c r="R1100" s="897"/>
      <c r="S1100" s="897"/>
      <c r="T1100" s="897"/>
      <c r="U1100" s="897"/>
      <c r="V1100" s="897"/>
      <c r="W1100" s="897"/>
      <c r="X1100" s="897"/>
      <c r="Y1100" s="897"/>
    </row>
    <row r="1101" spans="1:25">
      <c r="A1101" s="896"/>
      <c r="B1101" s="896"/>
      <c r="C1101" s="896"/>
      <c r="D1101" s="896"/>
      <c r="E1101" s="896"/>
      <c r="R1101" s="897"/>
      <c r="S1101" s="897"/>
      <c r="T1101" s="897"/>
      <c r="U1101" s="897"/>
      <c r="V1101" s="897"/>
      <c r="W1101" s="897"/>
      <c r="X1101" s="897"/>
      <c r="Y1101" s="897"/>
    </row>
    <row r="1102" spans="1:25">
      <c r="A1102" s="896"/>
      <c r="B1102" s="896"/>
      <c r="C1102" s="896"/>
      <c r="D1102" s="896"/>
      <c r="E1102" s="896"/>
      <c r="R1102" s="897"/>
      <c r="S1102" s="897"/>
      <c r="T1102" s="897"/>
      <c r="U1102" s="897"/>
      <c r="V1102" s="897"/>
      <c r="W1102" s="897"/>
      <c r="X1102" s="897"/>
      <c r="Y1102" s="897"/>
    </row>
    <row r="1103" spans="1:25">
      <c r="A1103" s="896"/>
      <c r="B1103" s="896"/>
      <c r="C1103" s="896"/>
      <c r="D1103" s="896"/>
      <c r="E1103" s="896"/>
      <c r="R1103" s="897"/>
      <c r="S1103" s="897"/>
      <c r="T1103" s="897"/>
      <c r="U1103" s="897"/>
      <c r="V1103" s="897"/>
      <c r="W1103" s="897"/>
      <c r="X1103" s="897"/>
      <c r="Y1103" s="897"/>
    </row>
    <row r="1104" spans="1:25">
      <c r="A1104" s="896"/>
      <c r="B1104" s="896"/>
      <c r="C1104" s="896"/>
      <c r="D1104" s="896"/>
      <c r="E1104" s="896"/>
      <c r="R1104" s="897"/>
      <c r="S1104" s="897"/>
      <c r="T1104" s="897"/>
      <c r="U1104" s="897"/>
      <c r="V1104" s="897"/>
      <c r="W1104" s="897"/>
      <c r="X1104" s="897"/>
      <c r="Y1104" s="897"/>
    </row>
    <row r="1105" spans="1:25">
      <c r="A1105" s="896"/>
      <c r="B1105" s="896"/>
      <c r="C1105" s="896"/>
      <c r="D1105" s="896"/>
      <c r="E1105" s="896"/>
      <c r="R1105" s="897"/>
      <c r="S1105" s="897"/>
      <c r="T1105" s="897"/>
      <c r="U1105" s="897"/>
      <c r="V1105" s="897"/>
      <c r="W1105" s="897"/>
      <c r="X1105" s="897"/>
      <c r="Y1105" s="897"/>
    </row>
    <row r="1106" spans="1:25">
      <c r="A1106" s="896"/>
      <c r="B1106" s="896"/>
      <c r="C1106" s="896"/>
      <c r="D1106" s="896"/>
      <c r="E1106" s="896"/>
      <c r="R1106" s="897"/>
      <c r="S1106" s="897"/>
      <c r="T1106" s="897"/>
      <c r="U1106" s="897"/>
      <c r="V1106" s="897"/>
      <c r="W1106" s="897"/>
      <c r="X1106" s="897"/>
      <c r="Y1106" s="897"/>
    </row>
    <row r="1107" spans="1:25">
      <c r="A1107" s="896"/>
      <c r="B1107" s="896"/>
      <c r="C1107" s="896"/>
      <c r="D1107" s="896"/>
      <c r="E1107" s="896"/>
      <c r="R1107" s="897"/>
      <c r="S1107" s="897"/>
      <c r="T1107" s="897"/>
      <c r="U1107" s="897"/>
      <c r="V1107" s="897"/>
      <c r="W1107" s="897"/>
      <c r="X1107" s="897"/>
      <c r="Y1107" s="897"/>
    </row>
    <row r="1108" spans="1:25">
      <c r="A1108" s="896"/>
      <c r="B1108" s="896"/>
      <c r="C1108" s="896"/>
      <c r="D1108" s="896"/>
      <c r="E1108" s="896"/>
      <c r="R1108" s="897"/>
      <c r="S1108" s="897"/>
      <c r="T1108" s="897"/>
      <c r="U1108" s="897"/>
      <c r="V1108" s="897"/>
      <c r="W1108" s="897"/>
      <c r="X1108" s="897"/>
      <c r="Y1108" s="897"/>
    </row>
    <row r="1109" spans="1:25">
      <c r="A1109" s="896"/>
      <c r="B1109" s="896"/>
      <c r="C1109" s="896"/>
      <c r="D1109" s="896"/>
      <c r="E1109" s="896"/>
      <c r="R1109" s="897"/>
      <c r="S1109" s="897"/>
      <c r="T1109" s="897"/>
      <c r="U1109" s="897"/>
      <c r="V1109" s="897"/>
      <c r="W1109" s="897"/>
      <c r="X1109" s="897"/>
      <c r="Y1109" s="897"/>
    </row>
    <row r="1110" spans="1:25">
      <c r="A1110" s="896"/>
      <c r="B1110" s="896"/>
      <c r="C1110" s="896"/>
      <c r="D1110" s="896"/>
      <c r="E1110" s="896"/>
      <c r="R1110" s="897"/>
      <c r="S1110" s="897"/>
      <c r="T1110" s="897"/>
      <c r="U1110" s="897"/>
      <c r="V1110" s="897"/>
      <c r="W1110" s="897"/>
      <c r="X1110" s="897"/>
      <c r="Y1110" s="897"/>
    </row>
    <row r="1111" spans="1:25">
      <c r="A1111" s="896"/>
      <c r="B1111" s="896"/>
      <c r="C1111" s="896"/>
      <c r="D1111" s="896"/>
      <c r="E1111" s="896"/>
      <c r="R1111" s="897"/>
      <c r="S1111" s="897"/>
      <c r="T1111" s="897"/>
      <c r="U1111" s="897"/>
      <c r="V1111" s="897"/>
      <c r="W1111" s="897"/>
      <c r="X1111" s="897"/>
      <c r="Y1111" s="897"/>
    </row>
    <row r="1112" spans="1:25">
      <c r="A1112" s="896"/>
      <c r="B1112" s="896"/>
      <c r="C1112" s="896"/>
      <c r="D1112" s="896"/>
      <c r="E1112" s="896"/>
      <c r="R1112" s="897"/>
      <c r="S1112" s="897"/>
      <c r="T1112" s="897"/>
      <c r="U1112" s="897"/>
      <c r="V1112" s="897"/>
      <c r="W1112" s="897"/>
      <c r="X1112" s="897"/>
      <c r="Y1112" s="897"/>
    </row>
    <row r="1113" spans="1:25">
      <c r="A1113" s="896"/>
      <c r="B1113" s="896"/>
      <c r="C1113" s="896"/>
      <c r="D1113" s="896"/>
      <c r="E1113" s="896"/>
      <c r="R1113" s="897"/>
      <c r="S1113" s="897"/>
      <c r="T1113" s="897"/>
      <c r="U1113" s="897"/>
      <c r="V1113" s="897"/>
      <c r="W1113" s="897"/>
      <c r="X1113" s="897"/>
      <c r="Y1113" s="897"/>
    </row>
    <row r="1114" spans="1:25">
      <c r="A1114" s="896"/>
      <c r="B1114" s="896"/>
      <c r="C1114" s="896"/>
      <c r="D1114" s="896"/>
      <c r="E1114" s="896"/>
      <c r="R1114" s="897"/>
      <c r="S1114" s="897"/>
      <c r="T1114" s="897"/>
      <c r="U1114" s="897"/>
      <c r="V1114" s="897"/>
      <c r="W1114" s="897"/>
      <c r="X1114" s="897"/>
      <c r="Y1114" s="897"/>
    </row>
    <row r="1115" spans="1:25">
      <c r="A1115" s="896"/>
      <c r="B1115" s="896"/>
      <c r="C1115" s="896"/>
      <c r="D1115" s="896"/>
      <c r="E1115" s="896"/>
      <c r="R1115" s="897"/>
      <c r="S1115" s="897"/>
      <c r="T1115" s="897"/>
      <c r="U1115" s="897"/>
      <c r="V1115" s="897"/>
      <c r="W1115" s="897"/>
      <c r="X1115" s="897"/>
      <c r="Y1115" s="897"/>
    </row>
    <row r="1116" spans="1:25">
      <c r="A1116" s="896"/>
      <c r="B1116" s="896"/>
      <c r="C1116" s="896"/>
      <c r="D1116" s="896"/>
      <c r="E1116" s="896"/>
      <c r="R1116" s="897"/>
      <c r="S1116" s="897"/>
      <c r="T1116" s="897"/>
      <c r="U1116" s="897"/>
      <c r="V1116" s="897"/>
      <c r="W1116" s="897"/>
      <c r="X1116" s="897"/>
      <c r="Y1116" s="897"/>
    </row>
    <row r="1117" spans="1:25">
      <c r="A1117" s="896"/>
      <c r="B1117" s="896"/>
      <c r="C1117" s="896"/>
      <c r="D1117" s="896"/>
      <c r="E1117" s="896"/>
      <c r="R1117" s="897"/>
      <c r="S1117" s="897"/>
      <c r="T1117" s="897"/>
      <c r="U1117" s="897"/>
      <c r="V1117" s="897"/>
      <c r="W1117" s="897"/>
      <c r="X1117" s="897"/>
      <c r="Y1117" s="897"/>
    </row>
    <row r="1118" spans="1:25">
      <c r="A1118" s="896"/>
      <c r="B1118" s="896"/>
      <c r="C1118" s="896"/>
      <c r="D1118" s="896"/>
      <c r="E1118" s="896"/>
      <c r="R1118" s="897"/>
      <c r="S1118" s="897"/>
      <c r="T1118" s="897"/>
      <c r="U1118" s="897"/>
      <c r="V1118" s="897"/>
      <c r="W1118" s="897"/>
      <c r="X1118" s="897"/>
      <c r="Y1118" s="897"/>
    </row>
    <row r="1119" spans="1:25">
      <c r="A1119" s="896"/>
      <c r="B1119" s="896"/>
      <c r="C1119" s="896"/>
      <c r="D1119" s="896"/>
      <c r="E1119" s="896"/>
      <c r="R1119" s="897"/>
      <c r="S1119" s="897"/>
      <c r="T1119" s="897"/>
      <c r="U1119" s="897"/>
      <c r="V1119" s="897"/>
      <c r="W1119" s="897"/>
      <c r="X1119" s="897"/>
      <c r="Y1119" s="897"/>
    </row>
    <row r="1120" spans="1:25">
      <c r="A1120" s="896"/>
      <c r="B1120" s="896"/>
      <c r="C1120" s="896"/>
      <c r="D1120" s="896"/>
      <c r="E1120" s="896"/>
      <c r="R1120" s="897"/>
      <c r="S1120" s="897"/>
      <c r="T1120" s="897"/>
      <c r="U1120" s="897"/>
      <c r="V1120" s="897"/>
      <c r="W1120" s="897"/>
      <c r="X1120" s="897"/>
      <c r="Y1120" s="897"/>
    </row>
    <row r="1121" spans="1:25">
      <c r="A1121" s="896"/>
      <c r="B1121" s="896"/>
      <c r="C1121" s="896"/>
      <c r="D1121" s="896"/>
      <c r="E1121" s="896"/>
      <c r="R1121" s="897"/>
      <c r="S1121" s="897"/>
      <c r="T1121" s="897"/>
      <c r="U1121" s="897"/>
      <c r="V1121" s="897"/>
      <c r="W1121" s="897"/>
      <c r="X1121" s="897"/>
      <c r="Y1121" s="897"/>
    </row>
    <row r="1122" spans="1:25">
      <c r="A1122" s="896"/>
      <c r="B1122" s="896"/>
      <c r="C1122" s="896"/>
      <c r="D1122" s="896"/>
      <c r="E1122" s="896"/>
      <c r="R1122" s="897"/>
      <c r="S1122" s="897"/>
      <c r="T1122" s="897"/>
      <c r="U1122" s="897"/>
      <c r="V1122" s="897"/>
      <c r="W1122" s="897"/>
      <c r="X1122" s="897"/>
      <c r="Y1122" s="897"/>
    </row>
    <row r="1123" spans="1:25">
      <c r="A1123" s="896"/>
      <c r="B1123" s="896"/>
      <c r="C1123" s="896"/>
      <c r="D1123" s="896"/>
      <c r="E1123" s="896"/>
      <c r="R1123" s="897"/>
      <c r="S1123" s="897"/>
      <c r="T1123" s="897"/>
      <c r="U1123" s="897"/>
      <c r="V1123" s="897"/>
      <c r="W1123" s="897"/>
      <c r="X1123" s="897"/>
      <c r="Y1123" s="897"/>
    </row>
    <row r="1124" spans="1:25">
      <c r="A1124" s="896"/>
      <c r="B1124" s="896"/>
      <c r="C1124" s="896"/>
      <c r="D1124" s="896"/>
      <c r="E1124" s="896"/>
      <c r="R1124" s="897"/>
      <c r="S1124" s="897"/>
      <c r="T1124" s="897"/>
      <c r="U1124" s="897"/>
      <c r="V1124" s="897"/>
      <c r="W1124" s="897"/>
      <c r="X1124" s="897"/>
      <c r="Y1124" s="897"/>
    </row>
    <row r="1125" spans="1:25">
      <c r="A1125" s="896"/>
      <c r="B1125" s="896"/>
      <c r="C1125" s="896"/>
      <c r="D1125" s="896"/>
      <c r="E1125" s="896"/>
      <c r="R1125" s="897"/>
      <c r="S1125" s="897"/>
      <c r="T1125" s="897"/>
      <c r="U1125" s="897"/>
      <c r="V1125" s="897"/>
      <c r="W1125" s="897"/>
      <c r="X1125" s="897"/>
      <c r="Y1125" s="897"/>
    </row>
    <row r="1126" spans="1:25">
      <c r="A1126" s="896"/>
      <c r="B1126" s="896"/>
      <c r="C1126" s="896"/>
      <c r="D1126" s="896"/>
      <c r="E1126" s="896"/>
      <c r="R1126" s="897"/>
      <c r="S1126" s="897"/>
      <c r="T1126" s="897"/>
      <c r="U1126" s="897"/>
      <c r="V1126" s="897"/>
      <c r="W1126" s="897"/>
      <c r="X1126" s="897"/>
      <c r="Y1126" s="897"/>
    </row>
    <row r="1127" spans="1:25">
      <c r="A1127" s="896"/>
      <c r="B1127" s="896"/>
      <c r="C1127" s="896"/>
      <c r="D1127" s="896"/>
      <c r="E1127" s="896"/>
      <c r="R1127" s="897"/>
      <c r="S1127" s="897"/>
      <c r="T1127" s="897"/>
      <c r="U1127" s="897"/>
      <c r="V1127" s="897"/>
      <c r="W1127" s="897"/>
      <c r="X1127" s="897"/>
      <c r="Y1127" s="897"/>
    </row>
    <row r="1128" spans="1:25">
      <c r="A1128" s="896"/>
      <c r="B1128" s="896"/>
      <c r="C1128" s="896"/>
      <c r="D1128" s="896"/>
      <c r="E1128" s="896"/>
      <c r="R1128" s="897"/>
      <c r="S1128" s="897"/>
      <c r="T1128" s="897"/>
      <c r="U1128" s="897"/>
      <c r="V1128" s="897"/>
      <c r="W1128" s="897"/>
      <c r="X1128" s="897"/>
      <c r="Y1128" s="897"/>
    </row>
    <row r="1129" spans="1:25">
      <c r="A1129" s="896"/>
      <c r="B1129" s="896"/>
      <c r="C1129" s="896"/>
      <c r="D1129" s="896"/>
      <c r="E1129" s="896"/>
      <c r="R1129" s="897"/>
      <c r="S1129" s="897"/>
      <c r="T1129" s="897"/>
      <c r="U1129" s="897"/>
      <c r="V1129" s="897"/>
      <c r="W1129" s="897"/>
      <c r="X1129" s="897"/>
      <c r="Y1129" s="897"/>
    </row>
    <row r="1130" spans="1:25">
      <c r="A1130" s="896"/>
      <c r="B1130" s="896"/>
      <c r="C1130" s="896"/>
      <c r="D1130" s="896"/>
      <c r="E1130" s="896"/>
      <c r="R1130" s="897"/>
      <c r="S1130" s="897"/>
      <c r="T1130" s="897"/>
      <c r="U1130" s="897"/>
      <c r="V1130" s="897"/>
      <c r="W1130" s="897"/>
      <c r="X1130" s="897"/>
      <c r="Y1130" s="897"/>
    </row>
    <row r="1131" spans="1:25">
      <c r="A1131" s="896"/>
      <c r="B1131" s="896"/>
      <c r="C1131" s="896"/>
      <c r="D1131" s="896"/>
      <c r="E1131" s="896"/>
      <c r="R1131" s="897"/>
      <c r="S1131" s="897"/>
      <c r="T1131" s="897"/>
      <c r="U1131" s="897"/>
      <c r="V1131" s="897"/>
      <c r="W1131" s="897"/>
      <c r="X1131" s="897"/>
      <c r="Y1131" s="897"/>
    </row>
    <row r="1132" spans="1:25">
      <c r="A1132" s="896"/>
      <c r="B1132" s="896"/>
      <c r="C1132" s="896"/>
      <c r="D1132" s="896"/>
      <c r="E1132" s="896"/>
      <c r="R1132" s="897"/>
      <c r="S1132" s="897"/>
      <c r="T1132" s="897"/>
      <c r="U1132" s="897"/>
      <c r="V1132" s="897"/>
      <c r="W1132" s="897"/>
      <c r="X1132" s="897"/>
      <c r="Y1132" s="897"/>
    </row>
    <row r="1133" spans="1:25">
      <c r="A1133" s="896"/>
      <c r="B1133" s="896"/>
      <c r="C1133" s="896"/>
      <c r="D1133" s="896"/>
      <c r="E1133" s="896"/>
      <c r="R1133" s="897"/>
      <c r="S1133" s="897"/>
      <c r="T1133" s="897"/>
      <c r="U1133" s="897"/>
      <c r="V1133" s="897"/>
      <c r="W1133" s="897"/>
      <c r="X1133" s="897"/>
      <c r="Y1133" s="897"/>
    </row>
    <row r="1134" spans="1:25">
      <c r="A1134" s="896"/>
      <c r="B1134" s="896"/>
      <c r="C1134" s="896"/>
      <c r="D1134" s="896"/>
      <c r="E1134" s="896"/>
      <c r="R1134" s="897"/>
      <c r="S1134" s="897"/>
      <c r="T1134" s="897"/>
      <c r="U1134" s="897"/>
      <c r="V1134" s="897"/>
      <c r="W1134" s="897"/>
      <c r="X1134" s="897"/>
      <c r="Y1134" s="897"/>
    </row>
    <row r="1135" spans="1:25">
      <c r="A1135" s="896"/>
      <c r="B1135" s="896"/>
      <c r="C1135" s="896"/>
      <c r="D1135" s="896"/>
      <c r="E1135" s="896"/>
      <c r="R1135" s="897"/>
      <c r="S1135" s="897"/>
      <c r="T1135" s="897"/>
      <c r="U1135" s="897"/>
      <c r="V1135" s="897"/>
      <c r="W1135" s="897"/>
      <c r="X1135" s="897"/>
      <c r="Y1135" s="897"/>
    </row>
    <row r="1136" spans="1:25">
      <c r="A1136" s="896"/>
      <c r="B1136" s="896"/>
      <c r="C1136" s="896"/>
      <c r="D1136" s="896"/>
      <c r="E1136" s="896"/>
      <c r="R1136" s="897"/>
      <c r="S1136" s="897"/>
      <c r="T1136" s="897"/>
      <c r="U1136" s="897"/>
      <c r="V1136" s="897"/>
      <c r="W1136" s="897"/>
      <c r="X1136" s="897"/>
      <c r="Y1136" s="897"/>
    </row>
    <row r="1137" spans="1:25">
      <c r="A1137" s="896"/>
      <c r="B1137" s="896"/>
      <c r="C1137" s="896"/>
      <c r="D1137" s="896"/>
      <c r="E1137" s="896"/>
      <c r="R1137" s="897"/>
      <c r="S1137" s="897"/>
      <c r="T1137" s="897"/>
      <c r="U1137" s="897"/>
      <c r="V1137" s="897"/>
      <c r="W1137" s="897"/>
      <c r="X1137" s="897"/>
      <c r="Y1137" s="897"/>
    </row>
    <row r="1138" spans="1:25">
      <c r="A1138" s="896"/>
      <c r="B1138" s="896"/>
      <c r="C1138" s="896"/>
      <c r="D1138" s="896"/>
      <c r="E1138" s="896"/>
      <c r="R1138" s="897"/>
      <c r="S1138" s="897"/>
      <c r="T1138" s="897"/>
      <c r="U1138" s="897"/>
      <c r="V1138" s="897"/>
      <c r="W1138" s="897"/>
      <c r="X1138" s="897"/>
      <c r="Y1138" s="897"/>
    </row>
    <row r="1139" spans="1:25">
      <c r="A1139" s="896"/>
      <c r="B1139" s="896"/>
      <c r="C1139" s="896"/>
      <c r="D1139" s="896"/>
      <c r="E1139" s="896"/>
      <c r="R1139" s="897"/>
      <c r="S1139" s="897"/>
      <c r="T1139" s="897"/>
      <c r="U1139" s="897"/>
      <c r="V1139" s="897"/>
      <c r="W1139" s="897"/>
      <c r="X1139" s="897"/>
      <c r="Y1139" s="897"/>
    </row>
    <row r="1140" spans="1:25">
      <c r="A1140" s="896"/>
      <c r="B1140" s="896"/>
      <c r="C1140" s="896"/>
      <c r="D1140" s="896"/>
      <c r="E1140" s="896"/>
      <c r="R1140" s="897"/>
      <c r="S1140" s="897"/>
      <c r="T1140" s="897"/>
      <c r="U1140" s="897"/>
      <c r="V1140" s="897"/>
      <c r="W1140" s="897"/>
      <c r="X1140" s="897"/>
      <c r="Y1140" s="897"/>
    </row>
    <row r="1141" spans="1:25">
      <c r="A1141" s="896"/>
      <c r="B1141" s="896"/>
      <c r="C1141" s="896"/>
      <c r="D1141" s="896"/>
      <c r="E1141" s="896"/>
      <c r="R1141" s="897"/>
      <c r="S1141" s="897"/>
      <c r="T1141" s="897"/>
      <c r="U1141" s="897"/>
      <c r="V1141" s="897"/>
      <c r="W1141" s="897"/>
      <c r="X1141" s="897"/>
      <c r="Y1141" s="897"/>
    </row>
    <row r="1142" spans="1:25">
      <c r="A1142" s="896"/>
      <c r="B1142" s="896"/>
      <c r="C1142" s="896"/>
      <c r="D1142" s="896"/>
      <c r="E1142" s="896"/>
      <c r="R1142" s="897"/>
      <c r="S1142" s="897"/>
      <c r="T1142" s="897"/>
      <c r="U1142" s="897"/>
      <c r="V1142" s="897"/>
      <c r="W1142" s="897"/>
      <c r="X1142" s="897"/>
      <c r="Y1142" s="897"/>
    </row>
    <row r="1143" spans="1:25">
      <c r="A1143" s="896"/>
      <c r="B1143" s="896"/>
      <c r="C1143" s="896"/>
      <c r="D1143" s="896"/>
      <c r="E1143" s="896"/>
      <c r="R1143" s="897"/>
      <c r="S1143" s="897"/>
      <c r="T1143" s="897"/>
      <c r="U1143" s="897"/>
      <c r="V1143" s="897"/>
      <c r="W1143" s="897"/>
      <c r="X1143" s="897"/>
      <c r="Y1143" s="897"/>
    </row>
    <row r="1144" spans="1:25">
      <c r="A1144" s="896"/>
      <c r="B1144" s="896"/>
      <c r="C1144" s="896"/>
      <c r="D1144" s="896"/>
      <c r="E1144" s="896"/>
      <c r="R1144" s="897"/>
      <c r="S1144" s="897"/>
      <c r="T1144" s="897"/>
      <c r="U1144" s="897"/>
      <c r="V1144" s="897"/>
      <c r="W1144" s="897"/>
      <c r="X1144" s="897"/>
      <c r="Y1144" s="897"/>
    </row>
    <row r="1145" spans="1:25">
      <c r="A1145" s="896"/>
      <c r="B1145" s="896"/>
      <c r="C1145" s="896"/>
      <c r="D1145" s="896"/>
      <c r="E1145" s="896"/>
      <c r="R1145" s="897"/>
      <c r="S1145" s="897"/>
      <c r="T1145" s="897"/>
      <c r="U1145" s="897"/>
      <c r="V1145" s="897"/>
      <c r="W1145" s="897"/>
      <c r="X1145" s="897"/>
      <c r="Y1145" s="897"/>
    </row>
    <row r="1146" spans="1:25">
      <c r="A1146" s="896"/>
      <c r="B1146" s="896"/>
      <c r="C1146" s="896"/>
      <c r="D1146" s="896"/>
      <c r="E1146" s="896"/>
      <c r="R1146" s="897"/>
      <c r="S1146" s="897"/>
      <c r="T1146" s="897"/>
      <c r="U1146" s="897"/>
      <c r="V1146" s="897"/>
      <c r="W1146" s="897"/>
      <c r="X1146" s="897"/>
      <c r="Y1146" s="897"/>
    </row>
    <row r="1147" spans="1:25">
      <c r="A1147" s="896"/>
      <c r="B1147" s="896"/>
      <c r="C1147" s="896"/>
      <c r="D1147" s="896"/>
      <c r="E1147" s="896"/>
      <c r="R1147" s="897"/>
      <c r="S1147" s="897"/>
      <c r="T1147" s="897"/>
      <c r="U1147" s="897"/>
      <c r="V1147" s="897"/>
      <c r="W1147" s="897"/>
      <c r="X1147" s="897"/>
      <c r="Y1147" s="897"/>
    </row>
    <row r="1148" spans="1:25">
      <c r="A1148" s="896"/>
      <c r="B1148" s="896"/>
      <c r="C1148" s="896"/>
      <c r="D1148" s="896"/>
      <c r="E1148" s="896"/>
      <c r="R1148" s="897"/>
      <c r="S1148" s="897"/>
      <c r="T1148" s="897"/>
      <c r="U1148" s="897"/>
      <c r="V1148" s="897"/>
      <c r="W1148" s="897"/>
      <c r="X1148" s="897"/>
      <c r="Y1148" s="897"/>
    </row>
    <row r="1149" spans="1:25">
      <c r="A1149" s="896"/>
      <c r="B1149" s="896"/>
      <c r="C1149" s="896"/>
      <c r="D1149" s="896"/>
      <c r="E1149" s="896"/>
      <c r="R1149" s="897"/>
      <c r="S1149" s="897"/>
      <c r="T1149" s="897"/>
      <c r="U1149" s="897"/>
      <c r="V1149" s="897"/>
      <c r="W1149" s="897"/>
      <c r="X1149" s="897"/>
      <c r="Y1149" s="897"/>
    </row>
    <row r="1150" spans="1:25">
      <c r="A1150" s="896"/>
      <c r="B1150" s="896"/>
      <c r="C1150" s="896"/>
      <c r="D1150" s="896"/>
      <c r="E1150" s="896"/>
      <c r="R1150" s="897"/>
      <c r="S1150" s="897"/>
      <c r="T1150" s="897"/>
      <c r="U1150" s="897"/>
      <c r="V1150" s="897"/>
      <c r="W1150" s="897"/>
      <c r="X1150" s="897"/>
      <c r="Y1150" s="897"/>
    </row>
    <row r="1151" spans="1:25">
      <c r="A1151" s="896"/>
      <c r="B1151" s="896"/>
      <c r="C1151" s="896"/>
      <c r="D1151" s="896"/>
      <c r="E1151" s="896"/>
      <c r="R1151" s="897"/>
      <c r="S1151" s="897"/>
      <c r="T1151" s="897"/>
      <c r="U1151" s="897"/>
      <c r="V1151" s="897"/>
      <c r="W1151" s="897"/>
      <c r="X1151" s="897"/>
      <c r="Y1151" s="897"/>
    </row>
    <row r="1152" spans="1:25">
      <c r="A1152" s="896"/>
      <c r="B1152" s="896"/>
      <c r="C1152" s="896"/>
      <c r="D1152" s="896"/>
      <c r="E1152" s="896"/>
      <c r="R1152" s="897"/>
      <c r="S1152" s="897"/>
      <c r="T1152" s="897"/>
      <c r="U1152" s="897"/>
      <c r="V1152" s="897"/>
      <c r="W1152" s="897"/>
      <c r="X1152" s="897"/>
      <c r="Y1152" s="897"/>
    </row>
    <row r="1153" spans="1:25">
      <c r="A1153" s="896"/>
      <c r="B1153" s="896"/>
      <c r="C1153" s="896"/>
      <c r="D1153" s="896"/>
      <c r="E1153" s="896"/>
      <c r="R1153" s="897"/>
      <c r="S1153" s="897"/>
      <c r="T1153" s="897"/>
      <c r="U1153" s="897"/>
      <c r="V1153" s="897"/>
      <c r="W1153" s="897"/>
      <c r="X1153" s="897"/>
      <c r="Y1153" s="897"/>
    </row>
    <row r="1154" spans="1:25">
      <c r="A1154" s="896"/>
      <c r="B1154" s="896"/>
      <c r="C1154" s="896"/>
      <c r="D1154" s="896"/>
      <c r="E1154" s="896"/>
      <c r="R1154" s="897"/>
      <c r="S1154" s="897"/>
      <c r="T1154" s="897"/>
      <c r="U1154" s="897"/>
      <c r="V1154" s="897"/>
      <c r="W1154" s="897"/>
      <c r="X1154" s="897"/>
      <c r="Y1154" s="897"/>
    </row>
    <row r="1155" spans="1:25">
      <c r="A1155" s="896"/>
      <c r="B1155" s="896"/>
      <c r="C1155" s="896"/>
      <c r="D1155" s="896"/>
      <c r="E1155" s="896"/>
      <c r="R1155" s="897"/>
      <c r="S1155" s="897"/>
      <c r="T1155" s="897"/>
      <c r="U1155" s="897"/>
      <c r="V1155" s="897"/>
      <c r="W1155" s="897"/>
      <c r="X1155" s="897"/>
      <c r="Y1155" s="897"/>
    </row>
    <row r="1156" spans="1:25">
      <c r="A1156" s="896"/>
      <c r="B1156" s="896"/>
      <c r="C1156" s="896"/>
      <c r="D1156" s="896"/>
      <c r="E1156" s="896"/>
      <c r="R1156" s="897"/>
      <c r="S1156" s="897"/>
      <c r="T1156" s="897"/>
      <c r="U1156" s="897"/>
      <c r="V1156" s="897"/>
      <c r="W1156" s="897"/>
      <c r="X1156" s="897"/>
      <c r="Y1156" s="897"/>
    </row>
    <row r="1157" spans="1:25">
      <c r="A1157" s="896"/>
      <c r="B1157" s="896"/>
      <c r="C1157" s="896"/>
      <c r="D1157" s="896"/>
      <c r="E1157" s="896"/>
      <c r="R1157" s="897"/>
      <c r="S1157" s="897"/>
      <c r="T1157" s="897"/>
      <c r="U1157" s="897"/>
      <c r="V1157" s="897"/>
      <c r="W1157" s="897"/>
      <c r="X1157" s="897"/>
      <c r="Y1157" s="897"/>
    </row>
    <row r="1158" spans="1:25">
      <c r="A1158" s="896"/>
      <c r="B1158" s="896"/>
      <c r="C1158" s="896"/>
      <c r="D1158" s="896"/>
      <c r="E1158" s="896"/>
      <c r="R1158" s="897"/>
      <c r="S1158" s="897"/>
      <c r="T1158" s="897"/>
      <c r="U1158" s="897"/>
      <c r="V1158" s="897"/>
      <c r="W1158" s="897"/>
      <c r="X1158" s="897"/>
      <c r="Y1158" s="897"/>
    </row>
    <row r="1159" spans="1:25">
      <c r="A1159" s="896"/>
      <c r="B1159" s="896"/>
      <c r="C1159" s="896"/>
      <c r="D1159" s="896"/>
      <c r="E1159" s="896"/>
      <c r="R1159" s="897"/>
      <c r="S1159" s="897"/>
      <c r="T1159" s="897"/>
      <c r="U1159" s="897"/>
      <c r="V1159" s="897"/>
      <c r="W1159" s="897"/>
      <c r="X1159" s="897"/>
      <c r="Y1159" s="897"/>
    </row>
    <row r="1160" spans="1:25">
      <c r="A1160" s="896"/>
      <c r="B1160" s="896"/>
      <c r="C1160" s="896"/>
      <c r="D1160" s="896"/>
      <c r="E1160" s="896"/>
      <c r="R1160" s="897"/>
      <c r="S1160" s="897"/>
      <c r="T1160" s="897"/>
      <c r="U1160" s="897"/>
      <c r="V1160" s="897"/>
      <c r="W1160" s="897"/>
      <c r="X1160" s="897"/>
      <c r="Y1160" s="897"/>
    </row>
    <row r="1161" spans="1:25">
      <c r="A1161" s="896"/>
      <c r="B1161" s="896"/>
      <c r="C1161" s="896"/>
      <c r="D1161" s="896"/>
      <c r="E1161" s="896"/>
      <c r="R1161" s="897"/>
      <c r="S1161" s="897"/>
      <c r="T1161" s="897"/>
      <c r="U1161" s="897"/>
      <c r="V1161" s="897"/>
      <c r="W1161" s="897"/>
      <c r="X1161" s="897"/>
      <c r="Y1161" s="897"/>
    </row>
    <row r="1162" spans="1:25">
      <c r="A1162" s="896"/>
      <c r="B1162" s="896"/>
      <c r="C1162" s="896"/>
      <c r="D1162" s="896"/>
      <c r="E1162" s="896"/>
      <c r="R1162" s="897"/>
      <c r="S1162" s="897"/>
      <c r="T1162" s="897"/>
      <c r="U1162" s="897"/>
      <c r="V1162" s="897"/>
      <c r="W1162" s="897"/>
      <c r="X1162" s="897"/>
      <c r="Y1162" s="897"/>
    </row>
    <row r="1163" spans="1:25">
      <c r="A1163" s="896"/>
      <c r="B1163" s="896"/>
      <c r="C1163" s="896"/>
      <c r="D1163" s="896"/>
      <c r="E1163" s="896"/>
      <c r="R1163" s="897"/>
      <c r="S1163" s="897"/>
      <c r="T1163" s="897"/>
      <c r="U1163" s="897"/>
      <c r="V1163" s="897"/>
      <c r="W1163" s="897"/>
      <c r="X1163" s="897"/>
      <c r="Y1163" s="897"/>
    </row>
    <row r="1164" spans="1:25">
      <c r="A1164" s="896"/>
      <c r="B1164" s="896"/>
      <c r="C1164" s="896"/>
      <c r="D1164" s="896"/>
      <c r="E1164" s="896"/>
      <c r="R1164" s="897"/>
      <c r="S1164" s="897"/>
      <c r="T1164" s="897"/>
      <c r="U1164" s="897"/>
      <c r="V1164" s="897"/>
      <c r="W1164" s="897"/>
      <c r="X1164" s="897"/>
      <c r="Y1164" s="897"/>
    </row>
    <row r="1165" spans="1:25">
      <c r="A1165" s="896"/>
      <c r="B1165" s="896"/>
      <c r="C1165" s="896"/>
      <c r="D1165" s="896"/>
      <c r="E1165" s="896"/>
      <c r="R1165" s="897"/>
      <c r="S1165" s="897"/>
      <c r="T1165" s="897"/>
      <c r="U1165" s="897"/>
      <c r="V1165" s="897"/>
      <c r="W1165" s="897"/>
      <c r="X1165" s="897"/>
      <c r="Y1165" s="897"/>
    </row>
    <row r="1166" spans="1:25">
      <c r="A1166" s="896"/>
      <c r="B1166" s="896"/>
      <c r="C1166" s="896"/>
      <c r="D1166" s="896"/>
      <c r="E1166" s="896"/>
      <c r="R1166" s="897"/>
      <c r="S1166" s="897"/>
      <c r="T1166" s="897"/>
      <c r="U1166" s="897"/>
      <c r="V1166" s="897"/>
      <c r="W1166" s="897"/>
      <c r="X1166" s="897"/>
      <c r="Y1166" s="897"/>
    </row>
    <row r="1167" spans="1:25">
      <c r="A1167" s="896"/>
      <c r="B1167" s="896"/>
      <c r="C1167" s="896"/>
      <c r="D1167" s="896"/>
      <c r="E1167" s="896"/>
      <c r="R1167" s="897"/>
      <c r="S1167" s="897"/>
      <c r="T1167" s="897"/>
      <c r="U1167" s="897"/>
      <c r="V1167" s="897"/>
      <c r="W1167" s="897"/>
      <c r="X1167" s="897"/>
      <c r="Y1167" s="897"/>
    </row>
    <row r="1168" spans="1:25">
      <c r="A1168" s="896"/>
      <c r="B1168" s="896"/>
      <c r="C1168" s="896"/>
      <c r="D1168" s="896"/>
      <c r="E1168" s="896"/>
      <c r="R1168" s="897"/>
      <c r="S1168" s="897"/>
      <c r="T1168" s="897"/>
      <c r="U1168" s="897"/>
      <c r="V1168" s="897"/>
      <c r="W1168" s="897"/>
      <c r="X1168" s="897"/>
      <c r="Y1168" s="897"/>
    </row>
    <row r="1169" spans="1:25">
      <c r="A1169" s="896"/>
      <c r="B1169" s="896"/>
      <c r="C1169" s="896"/>
      <c r="D1169" s="896"/>
      <c r="E1169" s="896"/>
      <c r="R1169" s="897"/>
      <c r="S1169" s="897"/>
      <c r="T1169" s="897"/>
      <c r="U1169" s="897"/>
      <c r="V1169" s="897"/>
      <c r="W1169" s="897"/>
      <c r="X1169" s="897"/>
      <c r="Y1169" s="897"/>
    </row>
    <row r="1170" spans="1:25">
      <c r="A1170" s="896"/>
      <c r="B1170" s="896"/>
      <c r="C1170" s="896"/>
      <c r="D1170" s="896"/>
      <c r="E1170" s="896"/>
      <c r="R1170" s="897"/>
      <c r="S1170" s="897"/>
      <c r="T1170" s="897"/>
      <c r="U1170" s="897"/>
      <c r="V1170" s="897"/>
      <c r="W1170" s="897"/>
      <c r="X1170" s="897"/>
      <c r="Y1170" s="897"/>
    </row>
    <row r="1171" spans="1:25">
      <c r="A1171" s="896"/>
      <c r="B1171" s="896"/>
      <c r="C1171" s="896"/>
      <c r="D1171" s="896"/>
      <c r="E1171" s="896"/>
      <c r="R1171" s="897"/>
      <c r="S1171" s="897"/>
      <c r="T1171" s="897"/>
      <c r="U1171" s="897"/>
      <c r="V1171" s="897"/>
      <c r="W1171" s="897"/>
      <c r="X1171" s="897"/>
      <c r="Y1171" s="897"/>
    </row>
    <row r="1172" spans="1:25">
      <c r="A1172" s="896"/>
      <c r="B1172" s="896"/>
      <c r="C1172" s="896"/>
      <c r="D1172" s="896"/>
      <c r="E1172" s="896"/>
      <c r="R1172" s="897"/>
      <c r="S1172" s="897"/>
      <c r="T1172" s="897"/>
      <c r="U1172" s="897"/>
      <c r="V1172" s="897"/>
      <c r="W1172" s="897"/>
      <c r="X1172" s="897"/>
      <c r="Y1172" s="897"/>
    </row>
    <row r="1173" spans="1:25">
      <c r="A1173" s="896"/>
      <c r="B1173" s="896"/>
      <c r="C1173" s="896"/>
      <c r="D1173" s="896"/>
      <c r="E1173" s="896"/>
      <c r="R1173" s="897"/>
      <c r="S1173" s="897"/>
      <c r="T1173" s="897"/>
      <c r="U1173" s="897"/>
      <c r="V1173" s="897"/>
      <c r="W1173" s="897"/>
      <c r="X1173" s="897"/>
      <c r="Y1173" s="897"/>
    </row>
    <row r="1174" spans="1:25">
      <c r="A1174" s="896"/>
      <c r="B1174" s="896"/>
      <c r="C1174" s="896"/>
      <c r="D1174" s="896"/>
      <c r="E1174" s="896"/>
      <c r="R1174" s="897"/>
      <c r="S1174" s="897"/>
      <c r="T1174" s="897"/>
      <c r="U1174" s="897"/>
      <c r="V1174" s="897"/>
      <c r="W1174" s="897"/>
      <c r="X1174" s="897"/>
      <c r="Y1174" s="897"/>
    </row>
    <row r="1175" spans="1:25">
      <c r="A1175" s="896"/>
      <c r="B1175" s="896"/>
      <c r="C1175" s="896"/>
      <c r="D1175" s="896"/>
      <c r="E1175" s="896"/>
      <c r="R1175" s="897"/>
      <c r="S1175" s="897"/>
      <c r="T1175" s="897"/>
      <c r="U1175" s="897"/>
      <c r="V1175" s="897"/>
      <c r="W1175" s="897"/>
      <c r="X1175" s="897"/>
      <c r="Y1175" s="897"/>
    </row>
    <row r="1176" spans="1:25">
      <c r="A1176" s="896"/>
      <c r="B1176" s="896"/>
      <c r="C1176" s="896"/>
      <c r="D1176" s="896"/>
      <c r="E1176" s="896"/>
      <c r="R1176" s="897"/>
      <c r="S1176" s="897"/>
      <c r="T1176" s="897"/>
      <c r="U1176" s="897"/>
      <c r="V1176" s="897"/>
      <c r="W1176" s="897"/>
      <c r="X1176" s="897"/>
      <c r="Y1176" s="897"/>
    </row>
    <row r="1177" spans="1:25">
      <c r="A1177" s="896"/>
      <c r="B1177" s="896"/>
      <c r="C1177" s="896"/>
      <c r="D1177" s="896"/>
      <c r="E1177" s="896"/>
      <c r="R1177" s="897"/>
      <c r="S1177" s="897"/>
      <c r="T1177" s="897"/>
      <c r="U1177" s="897"/>
      <c r="V1177" s="897"/>
      <c r="W1177" s="897"/>
      <c r="X1177" s="897"/>
      <c r="Y1177" s="897"/>
    </row>
    <row r="1178" spans="1:25">
      <c r="A1178" s="896"/>
      <c r="B1178" s="896"/>
      <c r="C1178" s="896"/>
      <c r="D1178" s="896"/>
      <c r="E1178" s="896"/>
      <c r="R1178" s="897"/>
      <c r="S1178" s="897"/>
      <c r="T1178" s="897"/>
      <c r="U1178" s="897"/>
      <c r="V1178" s="897"/>
      <c r="W1178" s="897"/>
      <c r="X1178" s="897"/>
      <c r="Y1178" s="897"/>
    </row>
    <row r="1179" spans="1:25">
      <c r="A1179" s="896"/>
      <c r="B1179" s="896"/>
      <c r="C1179" s="896"/>
      <c r="D1179" s="896"/>
      <c r="E1179" s="896"/>
      <c r="R1179" s="897"/>
      <c r="S1179" s="897"/>
      <c r="T1179" s="897"/>
      <c r="U1179" s="897"/>
      <c r="V1179" s="897"/>
      <c r="W1179" s="897"/>
      <c r="X1179" s="897"/>
      <c r="Y1179" s="897"/>
    </row>
    <row r="1180" spans="1:25">
      <c r="A1180" s="896"/>
      <c r="B1180" s="896"/>
      <c r="C1180" s="896"/>
      <c r="D1180" s="896"/>
      <c r="E1180" s="896"/>
      <c r="R1180" s="897"/>
      <c r="S1180" s="897"/>
      <c r="T1180" s="897"/>
      <c r="U1180" s="897"/>
      <c r="V1180" s="897"/>
      <c r="W1180" s="897"/>
      <c r="X1180" s="897"/>
      <c r="Y1180" s="897"/>
    </row>
    <row r="1181" spans="1:25">
      <c r="A1181" s="896"/>
      <c r="B1181" s="896"/>
      <c r="C1181" s="896"/>
      <c r="D1181" s="896"/>
      <c r="E1181" s="896"/>
      <c r="R1181" s="897"/>
      <c r="S1181" s="897"/>
      <c r="T1181" s="897"/>
      <c r="U1181" s="897"/>
      <c r="V1181" s="897"/>
      <c r="W1181" s="897"/>
      <c r="X1181" s="897"/>
      <c r="Y1181" s="897"/>
    </row>
    <row r="1182" spans="1:25">
      <c r="A1182" s="896"/>
      <c r="B1182" s="896"/>
      <c r="C1182" s="896"/>
      <c r="D1182" s="896"/>
      <c r="E1182" s="896"/>
      <c r="R1182" s="897"/>
      <c r="S1182" s="897"/>
      <c r="T1182" s="897"/>
      <c r="U1182" s="897"/>
      <c r="V1182" s="897"/>
      <c r="W1182" s="897"/>
      <c r="X1182" s="897"/>
      <c r="Y1182" s="897"/>
    </row>
    <row r="1183" spans="1:25">
      <c r="A1183" s="896"/>
      <c r="B1183" s="896"/>
      <c r="C1183" s="896"/>
      <c r="D1183" s="896"/>
      <c r="E1183" s="896"/>
      <c r="R1183" s="897"/>
      <c r="S1183" s="897"/>
      <c r="T1183" s="897"/>
      <c r="U1183" s="897"/>
      <c r="V1183" s="897"/>
      <c r="W1183" s="897"/>
      <c r="X1183" s="897"/>
      <c r="Y1183" s="897"/>
    </row>
    <row r="1184" spans="1:25">
      <c r="A1184" s="896"/>
      <c r="B1184" s="896"/>
      <c r="C1184" s="896"/>
      <c r="D1184" s="896"/>
      <c r="E1184" s="896"/>
      <c r="R1184" s="897"/>
      <c r="S1184" s="897"/>
      <c r="T1184" s="897"/>
      <c r="U1184" s="897"/>
      <c r="V1184" s="897"/>
      <c r="W1184" s="897"/>
      <c r="X1184" s="897"/>
      <c r="Y1184" s="897"/>
    </row>
    <row r="1185" spans="1:25">
      <c r="A1185" s="896"/>
      <c r="B1185" s="896"/>
      <c r="C1185" s="896"/>
      <c r="D1185" s="896"/>
      <c r="E1185" s="896"/>
      <c r="R1185" s="897"/>
      <c r="S1185" s="897"/>
      <c r="T1185" s="897"/>
      <c r="U1185" s="897"/>
      <c r="V1185" s="897"/>
      <c r="W1185" s="897"/>
      <c r="X1185" s="897"/>
      <c r="Y1185" s="897"/>
    </row>
    <row r="1186" spans="1:25">
      <c r="A1186" s="896"/>
      <c r="B1186" s="896"/>
      <c r="C1186" s="896"/>
      <c r="D1186" s="896"/>
      <c r="E1186" s="896"/>
      <c r="R1186" s="897"/>
      <c r="S1186" s="897"/>
      <c r="T1186" s="897"/>
      <c r="U1186" s="897"/>
      <c r="V1186" s="897"/>
      <c r="W1186" s="897"/>
      <c r="X1186" s="897"/>
      <c r="Y1186" s="897"/>
    </row>
    <row r="1187" spans="1:25">
      <c r="A1187" s="896"/>
      <c r="B1187" s="896"/>
      <c r="C1187" s="896"/>
      <c r="D1187" s="896"/>
      <c r="E1187" s="896"/>
      <c r="R1187" s="897"/>
      <c r="S1187" s="897"/>
      <c r="T1187" s="897"/>
      <c r="U1187" s="897"/>
      <c r="V1187" s="897"/>
      <c r="W1187" s="897"/>
      <c r="X1187" s="897"/>
      <c r="Y1187" s="897"/>
    </row>
    <row r="1188" spans="1:25">
      <c r="A1188" s="896"/>
      <c r="B1188" s="896"/>
      <c r="C1188" s="896"/>
      <c r="D1188" s="896"/>
      <c r="E1188" s="896"/>
      <c r="R1188" s="897"/>
      <c r="S1188" s="897"/>
      <c r="T1188" s="897"/>
      <c r="U1188" s="897"/>
      <c r="V1188" s="897"/>
      <c r="W1188" s="897"/>
      <c r="X1188" s="897"/>
      <c r="Y1188" s="897"/>
    </row>
    <row r="1189" spans="1:25">
      <c r="A1189" s="896"/>
      <c r="B1189" s="896"/>
      <c r="C1189" s="896"/>
      <c r="D1189" s="896"/>
      <c r="E1189" s="896"/>
      <c r="R1189" s="897"/>
      <c r="S1189" s="897"/>
      <c r="T1189" s="897"/>
      <c r="U1189" s="897"/>
      <c r="V1189" s="897"/>
      <c r="W1189" s="897"/>
      <c r="X1189" s="897"/>
      <c r="Y1189" s="897"/>
    </row>
    <row r="1190" spans="1:25">
      <c r="A1190" s="896"/>
      <c r="B1190" s="896"/>
      <c r="C1190" s="896"/>
      <c r="D1190" s="896"/>
      <c r="E1190" s="896"/>
      <c r="R1190" s="897"/>
      <c r="S1190" s="897"/>
      <c r="T1190" s="897"/>
      <c r="U1190" s="897"/>
      <c r="V1190" s="897"/>
      <c r="W1190" s="897"/>
      <c r="X1190" s="897"/>
      <c r="Y1190" s="897"/>
    </row>
    <row r="1191" spans="1:25">
      <c r="A1191" s="896"/>
      <c r="B1191" s="896"/>
      <c r="C1191" s="896"/>
      <c r="D1191" s="896"/>
      <c r="E1191" s="896"/>
      <c r="R1191" s="897"/>
      <c r="S1191" s="897"/>
      <c r="T1191" s="897"/>
      <c r="U1191" s="897"/>
      <c r="V1191" s="897"/>
      <c r="W1191" s="897"/>
      <c r="X1191" s="897"/>
      <c r="Y1191" s="897"/>
    </row>
    <row r="1192" spans="1:25">
      <c r="A1192" s="896"/>
      <c r="B1192" s="896"/>
      <c r="C1192" s="896"/>
      <c r="D1192" s="896"/>
      <c r="E1192" s="896"/>
      <c r="R1192" s="897"/>
      <c r="S1192" s="897"/>
      <c r="T1192" s="897"/>
      <c r="U1192" s="897"/>
      <c r="V1192" s="897"/>
      <c r="W1192" s="897"/>
      <c r="X1192" s="897"/>
      <c r="Y1192" s="897"/>
    </row>
    <row r="1193" spans="1:25">
      <c r="A1193" s="896"/>
      <c r="B1193" s="896"/>
      <c r="C1193" s="896"/>
      <c r="D1193" s="896"/>
      <c r="E1193" s="896"/>
      <c r="R1193" s="897"/>
      <c r="S1193" s="897"/>
      <c r="T1193" s="897"/>
      <c r="U1193" s="897"/>
      <c r="V1193" s="897"/>
      <c r="W1193" s="897"/>
      <c r="X1193" s="897"/>
      <c r="Y1193" s="897"/>
    </row>
    <row r="1194" spans="1:25">
      <c r="A1194" s="896"/>
      <c r="B1194" s="896"/>
      <c r="C1194" s="896"/>
      <c r="D1194" s="896"/>
      <c r="E1194" s="896"/>
      <c r="R1194" s="897"/>
      <c r="S1194" s="897"/>
      <c r="T1194" s="897"/>
      <c r="U1194" s="897"/>
      <c r="V1194" s="897"/>
      <c r="W1194" s="897"/>
      <c r="X1194" s="897"/>
      <c r="Y1194" s="897"/>
    </row>
    <row r="1195" spans="1:25">
      <c r="A1195" s="896"/>
      <c r="B1195" s="896"/>
      <c r="C1195" s="896"/>
      <c r="D1195" s="896"/>
      <c r="E1195" s="896"/>
      <c r="R1195" s="897"/>
      <c r="S1195" s="897"/>
      <c r="T1195" s="897"/>
      <c r="U1195" s="897"/>
      <c r="V1195" s="897"/>
      <c r="W1195" s="897"/>
      <c r="X1195" s="897"/>
      <c r="Y1195" s="897"/>
    </row>
    <row r="1196" spans="1:25">
      <c r="A1196" s="896"/>
      <c r="B1196" s="896"/>
      <c r="C1196" s="896"/>
      <c r="D1196" s="896"/>
      <c r="E1196" s="896"/>
      <c r="R1196" s="897"/>
      <c r="S1196" s="897"/>
      <c r="T1196" s="897"/>
      <c r="U1196" s="897"/>
      <c r="V1196" s="897"/>
      <c r="W1196" s="897"/>
      <c r="X1196" s="897"/>
      <c r="Y1196" s="897"/>
    </row>
    <row r="1197" spans="1:25">
      <c r="A1197" s="896"/>
      <c r="B1197" s="896"/>
      <c r="C1197" s="896"/>
      <c r="D1197" s="896"/>
      <c r="E1197" s="896"/>
      <c r="R1197" s="897"/>
      <c r="S1197" s="897"/>
      <c r="T1197" s="897"/>
      <c r="U1197" s="897"/>
      <c r="V1197" s="897"/>
      <c r="W1197" s="897"/>
      <c r="X1197" s="897"/>
      <c r="Y1197" s="897"/>
    </row>
    <row r="1198" spans="1:25">
      <c r="A1198" s="896"/>
      <c r="B1198" s="896"/>
      <c r="C1198" s="896"/>
      <c r="D1198" s="896"/>
      <c r="E1198" s="896"/>
      <c r="R1198" s="897"/>
      <c r="S1198" s="897"/>
      <c r="T1198" s="897"/>
      <c r="U1198" s="897"/>
      <c r="V1198" s="897"/>
      <c r="W1198" s="897"/>
      <c r="X1198" s="897"/>
      <c r="Y1198" s="897"/>
    </row>
    <row r="1199" spans="1:25">
      <c r="A1199" s="896"/>
      <c r="B1199" s="896"/>
      <c r="C1199" s="896"/>
      <c r="D1199" s="896"/>
      <c r="E1199" s="896"/>
      <c r="R1199" s="897"/>
      <c r="S1199" s="897"/>
      <c r="T1199" s="897"/>
      <c r="U1199" s="897"/>
      <c r="V1199" s="897"/>
      <c r="W1199" s="897"/>
      <c r="X1199" s="897"/>
      <c r="Y1199" s="897"/>
    </row>
    <row r="1200" spans="1:25">
      <c r="A1200" s="896"/>
      <c r="B1200" s="896"/>
      <c r="C1200" s="896"/>
      <c r="D1200" s="896"/>
      <c r="E1200" s="896"/>
      <c r="R1200" s="897"/>
      <c r="S1200" s="897"/>
      <c r="T1200" s="897"/>
      <c r="U1200" s="897"/>
      <c r="V1200" s="897"/>
      <c r="W1200" s="897"/>
      <c r="X1200" s="897"/>
      <c r="Y1200" s="897"/>
    </row>
    <row r="1201" spans="1:25">
      <c r="A1201" s="896"/>
      <c r="B1201" s="896"/>
      <c r="C1201" s="896"/>
      <c r="D1201" s="896"/>
      <c r="E1201" s="896"/>
      <c r="R1201" s="897"/>
      <c r="S1201" s="897"/>
      <c r="T1201" s="897"/>
      <c r="U1201" s="897"/>
      <c r="V1201" s="897"/>
      <c r="W1201" s="897"/>
      <c r="X1201" s="897"/>
      <c r="Y1201" s="897"/>
    </row>
    <row r="1202" spans="1:25">
      <c r="A1202" s="896"/>
      <c r="B1202" s="896"/>
      <c r="C1202" s="896"/>
      <c r="D1202" s="896"/>
      <c r="E1202" s="896"/>
      <c r="R1202" s="897"/>
      <c r="S1202" s="897"/>
      <c r="T1202" s="897"/>
      <c r="U1202" s="897"/>
      <c r="V1202" s="897"/>
      <c r="W1202" s="897"/>
      <c r="X1202" s="897"/>
      <c r="Y1202" s="897"/>
    </row>
    <row r="1203" spans="1:25">
      <c r="A1203" s="896"/>
      <c r="B1203" s="896"/>
      <c r="C1203" s="896"/>
      <c r="D1203" s="896"/>
      <c r="E1203" s="896"/>
      <c r="R1203" s="897"/>
      <c r="S1203" s="897"/>
      <c r="T1203" s="897"/>
      <c r="U1203" s="897"/>
      <c r="V1203" s="897"/>
      <c r="W1203" s="897"/>
      <c r="X1203" s="897"/>
      <c r="Y1203" s="897"/>
    </row>
    <row r="1204" spans="1:25">
      <c r="A1204" s="896"/>
      <c r="B1204" s="896"/>
      <c r="C1204" s="896"/>
      <c r="D1204" s="896"/>
      <c r="E1204" s="896"/>
      <c r="R1204" s="897"/>
      <c r="S1204" s="897"/>
      <c r="T1204" s="897"/>
      <c r="U1204" s="897"/>
      <c r="V1204" s="897"/>
      <c r="W1204" s="897"/>
      <c r="X1204" s="897"/>
      <c r="Y1204" s="897"/>
    </row>
    <row r="1205" spans="1:25">
      <c r="A1205" s="896"/>
      <c r="B1205" s="896"/>
      <c r="C1205" s="896"/>
      <c r="D1205" s="896"/>
      <c r="E1205" s="896"/>
      <c r="R1205" s="897"/>
      <c r="S1205" s="897"/>
      <c r="T1205" s="897"/>
      <c r="U1205" s="897"/>
      <c r="V1205" s="897"/>
      <c r="W1205" s="897"/>
      <c r="X1205" s="897"/>
      <c r="Y1205" s="897"/>
    </row>
    <row r="1206" spans="1:25">
      <c r="A1206" s="896"/>
      <c r="B1206" s="896"/>
      <c r="C1206" s="896"/>
      <c r="D1206" s="896"/>
      <c r="E1206" s="896"/>
      <c r="R1206" s="897"/>
      <c r="S1206" s="897"/>
      <c r="T1206" s="897"/>
      <c r="U1206" s="897"/>
      <c r="V1206" s="897"/>
      <c r="W1206" s="897"/>
      <c r="X1206" s="897"/>
      <c r="Y1206" s="897"/>
    </row>
    <row r="1207" spans="1:25">
      <c r="A1207" s="896"/>
      <c r="B1207" s="896"/>
      <c r="C1207" s="896"/>
      <c r="D1207" s="896"/>
      <c r="E1207" s="896"/>
      <c r="R1207" s="897"/>
      <c r="S1207" s="897"/>
      <c r="T1207" s="897"/>
      <c r="U1207" s="897"/>
      <c r="V1207" s="897"/>
      <c r="W1207" s="897"/>
      <c r="X1207" s="897"/>
      <c r="Y1207" s="897"/>
    </row>
    <row r="1208" spans="1:25">
      <c r="A1208" s="896"/>
      <c r="B1208" s="896"/>
      <c r="C1208" s="896"/>
      <c r="D1208" s="896"/>
      <c r="E1208" s="896"/>
      <c r="R1208" s="897"/>
      <c r="S1208" s="897"/>
      <c r="T1208" s="897"/>
      <c r="U1208" s="897"/>
      <c r="V1208" s="897"/>
      <c r="W1208" s="897"/>
      <c r="X1208" s="897"/>
      <c r="Y1208" s="897"/>
    </row>
    <row r="1209" spans="1:25">
      <c r="A1209" s="896"/>
      <c r="B1209" s="896"/>
      <c r="C1209" s="896"/>
      <c r="D1209" s="896"/>
      <c r="E1209" s="896"/>
      <c r="R1209" s="897"/>
      <c r="S1209" s="897"/>
      <c r="T1209" s="897"/>
      <c r="U1209" s="897"/>
      <c r="V1209" s="897"/>
      <c r="W1209" s="897"/>
      <c r="X1209" s="897"/>
      <c r="Y1209" s="897"/>
    </row>
    <row r="1210" spans="1:25">
      <c r="A1210" s="896"/>
      <c r="B1210" s="896"/>
      <c r="C1210" s="896"/>
      <c r="D1210" s="896"/>
      <c r="E1210" s="896"/>
      <c r="R1210" s="897"/>
      <c r="S1210" s="897"/>
      <c r="T1210" s="897"/>
      <c r="U1210" s="897"/>
      <c r="V1210" s="897"/>
      <c r="W1210" s="897"/>
      <c r="X1210" s="897"/>
      <c r="Y1210" s="897"/>
    </row>
    <row r="1211" spans="1:25">
      <c r="A1211" s="896"/>
      <c r="B1211" s="896"/>
      <c r="C1211" s="896"/>
      <c r="D1211" s="896"/>
      <c r="E1211" s="896"/>
      <c r="R1211" s="897"/>
      <c r="S1211" s="897"/>
      <c r="T1211" s="897"/>
      <c r="U1211" s="897"/>
      <c r="V1211" s="897"/>
      <c r="W1211" s="897"/>
      <c r="X1211" s="897"/>
      <c r="Y1211" s="897"/>
    </row>
    <row r="1212" spans="1:25">
      <c r="A1212" s="896"/>
      <c r="B1212" s="896"/>
      <c r="C1212" s="896"/>
      <c r="D1212" s="896"/>
      <c r="E1212" s="896"/>
      <c r="R1212" s="897"/>
      <c r="S1212" s="897"/>
      <c r="T1212" s="897"/>
      <c r="U1212" s="897"/>
      <c r="V1212" s="897"/>
      <c r="W1212" s="897"/>
      <c r="X1212" s="897"/>
      <c r="Y1212" s="897"/>
    </row>
    <row r="1213" spans="1:25">
      <c r="A1213" s="896"/>
      <c r="B1213" s="896"/>
      <c r="C1213" s="896"/>
      <c r="D1213" s="896"/>
      <c r="E1213" s="896"/>
      <c r="R1213" s="897"/>
      <c r="S1213" s="897"/>
      <c r="T1213" s="897"/>
      <c r="U1213" s="897"/>
      <c r="V1213" s="897"/>
      <c r="W1213" s="897"/>
      <c r="X1213" s="897"/>
      <c r="Y1213" s="897"/>
    </row>
    <row r="1214" spans="1:25">
      <c r="A1214" s="896"/>
      <c r="B1214" s="896"/>
      <c r="C1214" s="896"/>
      <c r="D1214" s="896"/>
      <c r="E1214" s="896"/>
      <c r="R1214" s="897"/>
      <c r="S1214" s="897"/>
      <c r="T1214" s="897"/>
      <c r="U1214" s="897"/>
      <c r="V1214" s="897"/>
      <c r="W1214" s="897"/>
      <c r="X1214" s="897"/>
      <c r="Y1214" s="897"/>
    </row>
    <row r="1215" spans="1:25">
      <c r="A1215" s="896"/>
      <c r="B1215" s="896"/>
      <c r="C1215" s="896"/>
      <c r="D1215" s="896"/>
      <c r="E1215" s="896"/>
      <c r="R1215" s="897"/>
      <c r="S1215" s="897"/>
      <c r="T1215" s="897"/>
      <c r="U1215" s="897"/>
      <c r="V1215" s="897"/>
      <c r="W1215" s="897"/>
      <c r="X1215" s="897"/>
      <c r="Y1215" s="897"/>
    </row>
    <row r="1216" spans="1:25">
      <c r="A1216" s="896"/>
      <c r="B1216" s="896"/>
      <c r="C1216" s="896"/>
      <c r="D1216" s="896"/>
      <c r="E1216" s="896"/>
      <c r="R1216" s="897"/>
      <c r="S1216" s="897"/>
      <c r="T1216" s="897"/>
      <c r="U1216" s="897"/>
      <c r="V1216" s="897"/>
      <c r="W1216" s="897"/>
      <c r="X1216" s="897"/>
      <c r="Y1216" s="897"/>
    </row>
    <row r="1217" spans="1:25">
      <c r="A1217" s="896"/>
      <c r="B1217" s="896"/>
      <c r="C1217" s="896"/>
      <c r="D1217" s="896"/>
      <c r="E1217" s="896"/>
      <c r="R1217" s="897"/>
      <c r="S1217" s="897"/>
      <c r="T1217" s="897"/>
      <c r="U1217" s="897"/>
      <c r="V1217" s="897"/>
      <c r="W1217" s="897"/>
      <c r="X1217" s="897"/>
      <c r="Y1217" s="897"/>
    </row>
    <row r="1218" spans="1:25">
      <c r="A1218" s="896"/>
      <c r="B1218" s="896"/>
      <c r="C1218" s="896"/>
      <c r="D1218" s="896"/>
      <c r="E1218" s="896"/>
      <c r="R1218" s="897"/>
      <c r="S1218" s="897"/>
      <c r="T1218" s="897"/>
      <c r="U1218" s="897"/>
      <c r="V1218" s="897"/>
      <c r="W1218" s="897"/>
      <c r="X1218" s="897"/>
      <c r="Y1218" s="897"/>
    </row>
    <row r="1219" spans="1:25">
      <c r="A1219" s="896"/>
      <c r="B1219" s="896"/>
      <c r="C1219" s="896"/>
      <c r="D1219" s="896"/>
      <c r="E1219" s="896"/>
      <c r="R1219" s="897"/>
      <c r="S1219" s="897"/>
      <c r="T1219" s="897"/>
      <c r="U1219" s="897"/>
      <c r="V1219" s="897"/>
      <c r="W1219" s="897"/>
      <c r="X1219" s="897"/>
      <c r="Y1219" s="897"/>
    </row>
    <row r="1220" spans="1:25">
      <c r="A1220" s="896"/>
      <c r="B1220" s="896"/>
      <c r="C1220" s="896"/>
      <c r="D1220" s="896"/>
      <c r="E1220" s="896"/>
      <c r="R1220" s="897"/>
      <c r="S1220" s="897"/>
      <c r="T1220" s="897"/>
      <c r="U1220" s="897"/>
      <c r="V1220" s="897"/>
      <c r="W1220" s="897"/>
      <c r="X1220" s="897"/>
      <c r="Y1220" s="897"/>
    </row>
    <row r="1221" spans="1:25">
      <c r="A1221" s="896"/>
      <c r="B1221" s="896"/>
      <c r="C1221" s="896"/>
      <c r="D1221" s="896"/>
      <c r="E1221" s="896"/>
      <c r="R1221" s="897"/>
      <c r="S1221" s="897"/>
      <c r="T1221" s="897"/>
      <c r="U1221" s="897"/>
      <c r="V1221" s="897"/>
      <c r="W1221" s="897"/>
      <c r="X1221" s="897"/>
      <c r="Y1221" s="897"/>
    </row>
    <row r="1222" spans="1:25">
      <c r="A1222" s="896"/>
      <c r="B1222" s="896"/>
      <c r="C1222" s="896"/>
      <c r="D1222" s="896"/>
      <c r="E1222" s="896"/>
      <c r="R1222" s="897"/>
      <c r="S1222" s="897"/>
      <c r="T1222" s="897"/>
      <c r="U1222" s="897"/>
      <c r="V1222" s="897"/>
      <c r="W1222" s="897"/>
      <c r="X1222" s="897"/>
      <c r="Y1222" s="897"/>
    </row>
    <row r="1223" spans="1:25">
      <c r="A1223" s="896"/>
      <c r="B1223" s="896"/>
      <c r="C1223" s="896"/>
      <c r="D1223" s="896"/>
      <c r="E1223" s="896"/>
      <c r="R1223" s="897"/>
      <c r="S1223" s="897"/>
      <c r="T1223" s="897"/>
      <c r="U1223" s="897"/>
      <c r="V1223" s="897"/>
      <c r="W1223" s="897"/>
      <c r="X1223" s="897"/>
      <c r="Y1223" s="897"/>
    </row>
    <row r="1224" spans="1:25">
      <c r="A1224" s="896"/>
      <c r="B1224" s="896"/>
      <c r="C1224" s="896"/>
      <c r="D1224" s="896"/>
      <c r="E1224" s="896"/>
      <c r="R1224" s="897"/>
      <c r="S1224" s="897"/>
      <c r="T1224" s="897"/>
      <c r="U1224" s="897"/>
      <c r="V1224" s="897"/>
      <c r="W1224" s="897"/>
      <c r="X1224" s="897"/>
      <c r="Y1224" s="897"/>
    </row>
    <row r="1225" spans="1:25">
      <c r="A1225" s="896"/>
      <c r="B1225" s="896"/>
      <c r="C1225" s="896"/>
      <c r="D1225" s="896"/>
      <c r="E1225" s="896"/>
      <c r="R1225" s="897"/>
      <c r="S1225" s="897"/>
      <c r="T1225" s="897"/>
      <c r="U1225" s="897"/>
      <c r="V1225" s="897"/>
      <c r="W1225" s="897"/>
      <c r="X1225" s="897"/>
      <c r="Y1225" s="897"/>
    </row>
    <row r="1226" spans="1:25">
      <c r="A1226" s="896"/>
      <c r="B1226" s="896"/>
      <c r="C1226" s="896"/>
      <c r="D1226" s="896"/>
      <c r="E1226" s="896"/>
      <c r="R1226" s="897"/>
      <c r="S1226" s="897"/>
      <c r="T1226" s="897"/>
      <c r="U1226" s="897"/>
      <c r="V1226" s="897"/>
      <c r="W1226" s="897"/>
      <c r="X1226" s="897"/>
      <c r="Y1226" s="897"/>
    </row>
    <row r="1227" spans="1:25">
      <c r="A1227" s="896"/>
      <c r="B1227" s="896"/>
      <c r="C1227" s="896"/>
      <c r="D1227" s="896"/>
      <c r="E1227" s="896"/>
      <c r="R1227" s="897"/>
      <c r="S1227" s="897"/>
      <c r="T1227" s="897"/>
      <c r="U1227" s="897"/>
      <c r="V1227" s="897"/>
      <c r="W1227" s="897"/>
      <c r="X1227" s="897"/>
      <c r="Y1227" s="897"/>
    </row>
    <row r="1228" spans="1:25">
      <c r="A1228" s="896"/>
      <c r="B1228" s="896"/>
      <c r="C1228" s="896"/>
      <c r="D1228" s="896"/>
      <c r="E1228" s="896"/>
      <c r="R1228" s="897"/>
      <c r="S1228" s="897"/>
      <c r="T1228" s="897"/>
      <c r="U1228" s="897"/>
      <c r="V1228" s="897"/>
      <c r="W1228" s="897"/>
      <c r="X1228" s="897"/>
      <c r="Y1228" s="897"/>
    </row>
    <row r="1229" spans="1:25">
      <c r="A1229" s="896"/>
      <c r="B1229" s="896"/>
      <c r="C1229" s="896"/>
      <c r="D1229" s="896"/>
      <c r="E1229" s="896"/>
      <c r="R1229" s="897"/>
      <c r="S1229" s="897"/>
      <c r="T1229" s="897"/>
      <c r="U1229" s="897"/>
      <c r="V1229" s="897"/>
      <c r="W1229" s="897"/>
      <c r="X1229" s="897"/>
      <c r="Y1229" s="897"/>
    </row>
    <row r="1230" spans="1:25">
      <c r="A1230" s="896"/>
      <c r="B1230" s="896"/>
      <c r="C1230" s="896"/>
      <c r="D1230" s="896"/>
      <c r="E1230" s="896"/>
      <c r="R1230" s="897"/>
      <c r="S1230" s="897"/>
      <c r="T1230" s="897"/>
      <c r="U1230" s="897"/>
      <c r="V1230" s="897"/>
      <c r="W1230" s="897"/>
      <c r="X1230" s="897"/>
      <c r="Y1230" s="897"/>
    </row>
    <row r="1231" spans="1:25">
      <c r="A1231" s="896"/>
      <c r="B1231" s="896"/>
      <c r="C1231" s="896"/>
      <c r="D1231" s="896"/>
      <c r="E1231" s="896"/>
      <c r="R1231" s="897"/>
      <c r="S1231" s="897"/>
      <c r="T1231" s="897"/>
      <c r="U1231" s="897"/>
      <c r="V1231" s="897"/>
      <c r="W1231" s="897"/>
      <c r="X1231" s="897"/>
      <c r="Y1231" s="897"/>
    </row>
    <row r="1232" spans="1:25">
      <c r="A1232" s="896"/>
      <c r="B1232" s="896"/>
      <c r="C1232" s="896"/>
      <c r="D1232" s="896"/>
      <c r="E1232" s="896"/>
      <c r="R1232" s="897"/>
      <c r="S1232" s="897"/>
      <c r="T1232" s="897"/>
      <c r="U1232" s="897"/>
      <c r="V1232" s="897"/>
      <c r="W1232" s="897"/>
      <c r="X1232" s="897"/>
      <c r="Y1232" s="897"/>
    </row>
    <row r="1233" spans="1:25">
      <c r="A1233" s="896"/>
      <c r="B1233" s="896"/>
      <c r="C1233" s="896"/>
      <c r="D1233" s="896"/>
      <c r="E1233" s="896"/>
      <c r="R1233" s="897"/>
      <c r="S1233" s="897"/>
      <c r="T1233" s="897"/>
      <c r="U1233" s="897"/>
      <c r="V1233" s="897"/>
      <c r="W1233" s="897"/>
      <c r="X1233" s="897"/>
      <c r="Y1233" s="897"/>
    </row>
    <row r="1234" spans="1:25">
      <c r="A1234" s="896"/>
      <c r="B1234" s="896"/>
      <c r="C1234" s="896"/>
      <c r="D1234" s="896"/>
      <c r="E1234" s="896"/>
      <c r="R1234" s="897"/>
      <c r="S1234" s="897"/>
      <c r="T1234" s="897"/>
      <c r="U1234" s="897"/>
      <c r="V1234" s="897"/>
      <c r="W1234" s="897"/>
      <c r="X1234" s="897"/>
      <c r="Y1234" s="897"/>
    </row>
    <row r="1235" spans="1:25">
      <c r="A1235" s="896"/>
      <c r="B1235" s="896"/>
      <c r="C1235" s="896"/>
      <c r="D1235" s="896"/>
      <c r="E1235" s="896"/>
      <c r="R1235" s="897"/>
      <c r="S1235" s="897"/>
      <c r="T1235" s="897"/>
      <c r="U1235" s="897"/>
      <c r="V1235" s="897"/>
      <c r="W1235" s="897"/>
      <c r="X1235" s="897"/>
      <c r="Y1235" s="897"/>
    </row>
    <row r="1236" spans="1:25">
      <c r="A1236" s="896"/>
      <c r="B1236" s="896"/>
      <c r="C1236" s="896"/>
      <c r="D1236" s="896"/>
      <c r="E1236" s="896"/>
      <c r="R1236" s="897"/>
      <c r="S1236" s="897"/>
      <c r="T1236" s="897"/>
      <c r="U1236" s="897"/>
      <c r="V1236" s="897"/>
      <c r="W1236" s="897"/>
      <c r="X1236" s="897"/>
      <c r="Y1236" s="897"/>
    </row>
    <row r="1237" spans="1:25">
      <c r="A1237" s="896"/>
      <c r="B1237" s="896"/>
      <c r="C1237" s="896"/>
      <c r="D1237" s="896"/>
      <c r="E1237" s="896"/>
      <c r="R1237" s="897"/>
      <c r="S1237" s="897"/>
      <c r="T1237" s="897"/>
      <c r="U1237" s="897"/>
      <c r="V1237" s="897"/>
      <c r="W1237" s="897"/>
      <c r="X1237" s="897"/>
      <c r="Y1237" s="897"/>
    </row>
    <row r="1238" spans="1:25">
      <c r="A1238" s="896"/>
      <c r="B1238" s="896"/>
      <c r="C1238" s="896"/>
      <c r="D1238" s="896"/>
      <c r="E1238" s="896"/>
      <c r="R1238" s="897"/>
      <c r="S1238" s="897"/>
      <c r="T1238" s="897"/>
      <c r="U1238" s="897"/>
      <c r="V1238" s="897"/>
      <c r="W1238" s="897"/>
      <c r="X1238" s="897"/>
      <c r="Y1238" s="897"/>
    </row>
    <row r="1239" spans="1:25">
      <c r="A1239" s="896"/>
      <c r="B1239" s="896"/>
      <c r="C1239" s="896"/>
      <c r="D1239" s="896"/>
      <c r="E1239" s="896"/>
      <c r="R1239" s="897"/>
      <c r="S1239" s="897"/>
      <c r="T1239" s="897"/>
      <c r="U1239" s="897"/>
      <c r="V1239" s="897"/>
      <c r="W1239" s="897"/>
      <c r="X1239" s="897"/>
      <c r="Y1239" s="897"/>
    </row>
    <row r="1240" spans="1:25">
      <c r="A1240" s="896"/>
      <c r="B1240" s="896"/>
      <c r="C1240" s="896"/>
      <c r="D1240" s="896"/>
      <c r="E1240" s="896"/>
      <c r="R1240" s="897"/>
      <c r="S1240" s="897"/>
      <c r="T1240" s="897"/>
      <c r="U1240" s="897"/>
      <c r="V1240" s="897"/>
      <c r="W1240" s="897"/>
      <c r="X1240" s="897"/>
      <c r="Y1240" s="897"/>
    </row>
    <row r="1241" spans="1:25">
      <c r="A1241" s="896"/>
      <c r="B1241" s="896"/>
      <c r="C1241" s="896"/>
      <c r="D1241" s="896"/>
      <c r="E1241" s="896"/>
      <c r="R1241" s="897"/>
      <c r="S1241" s="897"/>
      <c r="T1241" s="897"/>
      <c r="U1241" s="897"/>
      <c r="V1241" s="897"/>
      <c r="W1241" s="897"/>
      <c r="X1241" s="897"/>
      <c r="Y1241" s="897"/>
    </row>
    <row r="1242" spans="1:25">
      <c r="A1242" s="896"/>
      <c r="B1242" s="896"/>
      <c r="C1242" s="896"/>
      <c r="D1242" s="896"/>
      <c r="E1242" s="896"/>
      <c r="R1242" s="897"/>
      <c r="S1242" s="897"/>
      <c r="T1242" s="897"/>
      <c r="U1242" s="897"/>
      <c r="V1242" s="897"/>
      <c r="W1242" s="897"/>
      <c r="X1242" s="897"/>
      <c r="Y1242" s="897"/>
    </row>
    <row r="1243" spans="1:25">
      <c r="A1243" s="896"/>
      <c r="B1243" s="896"/>
      <c r="C1243" s="896"/>
      <c r="D1243" s="896"/>
      <c r="E1243" s="896"/>
      <c r="R1243" s="897"/>
      <c r="S1243" s="897"/>
      <c r="T1243" s="897"/>
      <c r="U1243" s="897"/>
      <c r="V1243" s="897"/>
      <c r="W1243" s="897"/>
      <c r="X1243" s="897"/>
      <c r="Y1243" s="897"/>
    </row>
    <row r="1244" spans="1:25">
      <c r="A1244" s="896"/>
      <c r="B1244" s="896"/>
      <c r="C1244" s="896"/>
      <c r="D1244" s="896"/>
      <c r="E1244" s="896"/>
      <c r="R1244" s="897"/>
      <c r="S1244" s="897"/>
      <c r="T1244" s="897"/>
      <c r="U1244" s="897"/>
      <c r="V1244" s="897"/>
      <c r="W1244" s="897"/>
      <c r="X1244" s="897"/>
      <c r="Y1244" s="897"/>
    </row>
    <row r="1245" spans="1:25">
      <c r="A1245" s="896"/>
      <c r="B1245" s="896"/>
      <c r="C1245" s="896"/>
      <c r="D1245" s="896"/>
      <c r="E1245" s="896"/>
      <c r="R1245" s="897"/>
      <c r="S1245" s="897"/>
      <c r="T1245" s="897"/>
      <c r="U1245" s="897"/>
      <c r="V1245" s="897"/>
      <c r="W1245" s="897"/>
      <c r="X1245" s="897"/>
      <c r="Y1245" s="897"/>
    </row>
    <row r="1246" spans="1:25">
      <c r="A1246" s="896"/>
      <c r="B1246" s="896"/>
      <c r="C1246" s="896"/>
      <c r="D1246" s="896"/>
      <c r="E1246" s="896"/>
      <c r="R1246" s="897"/>
      <c r="S1246" s="897"/>
      <c r="T1246" s="897"/>
      <c r="U1246" s="897"/>
      <c r="V1246" s="897"/>
      <c r="W1246" s="897"/>
      <c r="X1246" s="897"/>
      <c r="Y1246" s="897"/>
    </row>
    <row r="1247" spans="1:25">
      <c r="A1247" s="896"/>
      <c r="B1247" s="896"/>
      <c r="C1247" s="896"/>
      <c r="D1247" s="896"/>
      <c r="E1247" s="896"/>
      <c r="R1247" s="897"/>
      <c r="S1247" s="897"/>
      <c r="T1247" s="897"/>
      <c r="U1247" s="897"/>
      <c r="V1247" s="897"/>
      <c r="W1247" s="897"/>
      <c r="X1247" s="897"/>
      <c r="Y1247" s="897"/>
    </row>
    <row r="1248" spans="1:25">
      <c r="A1248" s="896"/>
      <c r="B1248" s="896"/>
      <c r="C1248" s="896"/>
      <c r="D1248" s="896"/>
      <c r="E1248" s="896"/>
      <c r="R1248" s="897"/>
      <c r="S1248" s="897"/>
      <c r="T1248" s="897"/>
      <c r="U1248" s="897"/>
      <c r="V1248" s="897"/>
      <c r="W1248" s="897"/>
      <c r="X1248" s="897"/>
      <c r="Y1248" s="897"/>
    </row>
    <row r="1249" spans="1:25">
      <c r="A1249" s="896"/>
      <c r="B1249" s="896"/>
      <c r="C1249" s="896"/>
      <c r="D1249" s="896"/>
      <c r="E1249" s="896"/>
      <c r="R1249" s="897"/>
      <c r="S1249" s="897"/>
      <c r="T1249" s="897"/>
      <c r="U1249" s="897"/>
      <c r="V1249" s="897"/>
      <c r="W1249" s="897"/>
      <c r="X1249" s="897"/>
      <c r="Y1249" s="897"/>
    </row>
    <row r="1250" spans="1:25">
      <c r="A1250" s="896"/>
      <c r="B1250" s="896"/>
      <c r="C1250" s="896"/>
      <c r="D1250" s="896"/>
      <c r="E1250" s="896"/>
      <c r="R1250" s="897"/>
      <c r="S1250" s="897"/>
      <c r="T1250" s="897"/>
      <c r="U1250" s="897"/>
      <c r="V1250" s="897"/>
      <c r="W1250" s="897"/>
      <c r="X1250" s="897"/>
      <c r="Y1250" s="897"/>
    </row>
    <row r="1251" spans="1:25">
      <c r="A1251" s="896"/>
      <c r="B1251" s="896"/>
      <c r="C1251" s="896"/>
      <c r="D1251" s="896"/>
      <c r="E1251" s="896"/>
      <c r="R1251" s="897"/>
      <c r="S1251" s="897"/>
      <c r="T1251" s="897"/>
      <c r="U1251" s="897"/>
      <c r="V1251" s="897"/>
      <c r="W1251" s="897"/>
      <c r="X1251" s="897"/>
      <c r="Y1251" s="897"/>
    </row>
    <row r="1252" spans="1:25">
      <c r="A1252" s="896"/>
      <c r="B1252" s="896"/>
      <c r="C1252" s="896"/>
      <c r="D1252" s="896"/>
      <c r="E1252" s="896"/>
      <c r="R1252" s="897"/>
      <c r="S1252" s="897"/>
      <c r="T1252" s="897"/>
      <c r="U1252" s="897"/>
      <c r="V1252" s="897"/>
      <c r="W1252" s="897"/>
      <c r="X1252" s="897"/>
      <c r="Y1252" s="897"/>
    </row>
    <row r="1253" spans="1:25">
      <c r="A1253" s="896"/>
      <c r="B1253" s="896"/>
      <c r="C1253" s="896"/>
      <c r="D1253" s="896"/>
      <c r="E1253" s="896"/>
      <c r="R1253" s="897"/>
      <c r="S1253" s="897"/>
      <c r="T1253" s="897"/>
      <c r="U1253" s="897"/>
      <c r="V1253" s="897"/>
      <c r="W1253" s="897"/>
      <c r="X1253" s="897"/>
      <c r="Y1253" s="897"/>
    </row>
    <row r="1254" spans="1:25">
      <c r="A1254" s="896"/>
      <c r="B1254" s="896"/>
      <c r="C1254" s="896"/>
      <c r="D1254" s="896"/>
      <c r="E1254" s="896"/>
      <c r="R1254" s="897"/>
      <c r="S1254" s="897"/>
      <c r="T1254" s="897"/>
      <c r="U1254" s="897"/>
      <c r="V1254" s="897"/>
      <c r="W1254" s="897"/>
      <c r="X1254" s="897"/>
      <c r="Y1254" s="897"/>
    </row>
    <row r="1255" spans="1:25">
      <c r="A1255" s="896"/>
      <c r="B1255" s="896"/>
      <c r="C1255" s="896"/>
      <c r="D1255" s="896"/>
      <c r="E1255" s="896"/>
      <c r="R1255" s="897"/>
      <c r="S1255" s="897"/>
      <c r="T1255" s="897"/>
      <c r="U1255" s="897"/>
      <c r="V1255" s="897"/>
      <c r="W1255" s="897"/>
      <c r="X1255" s="897"/>
      <c r="Y1255" s="897"/>
    </row>
    <row r="1256" spans="1:25">
      <c r="A1256" s="896"/>
      <c r="B1256" s="896"/>
      <c r="C1256" s="896"/>
      <c r="D1256" s="896"/>
      <c r="E1256" s="896"/>
      <c r="R1256" s="897"/>
      <c r="S1256" s="897"/>
      <c r="T1256" s="897"/>
      <c r="U1256" s="897"/>
      <c r="V1256" s="897"/>
      <c r="W1256" s="897"/>
      <c r="X1256" s="897"/>
      <c r="Y1256" s="897"/>
    </row>
    <row r="1257" spans="1:25">
      <c r="A1257" s="896"/>
      <c r="B1257" s="896"/>
      <c r="C1257" s="896"/>
      <c r="D1257" s="896"/>
      <c r="E1257" s="896"/>
      <c r="R1257" s="897"/>
      <c r="S1257" s="897"/>
      <c r="T1257" s="897"/>
      <c r="U1257" s="897"/>
      <c r="V1257" s="897"/>
      <c r="W1257" s="897"/>
      <c r="X1257" s="897"/>
      <c r="Y1257" s="897"/>
    </row>
    <row r="1258" spans="1:25">
      <c r="A1258" s="896"/>
      <c r="B1258" s="896"/>
      <c r="C1258" s="896"/>
      <c r="D1258" s="896"/>
      <c r="E1258" s="896"/>
      <c r="R1258" s="897"/>
      <c r="S1258" s="897"/>
      <c r="T1258" s="897"/>
      <c r="U1258" s="897"/>
      <c r="V1258" s="897"/>
      <c r="W1258" s="897"/>
      <c r="X1258" s="897"/>
      <c r="Y1258" s="897"/>
    </row>
    <row r="1259" spans="1:25">
      <c r="A1259" s="896"/>
      <c r="B1259" s="896"/>
      <c r="C1259" s="896"/>
      <c r="D1259" s="896"/>
      <c r="E1259" s="896"/>
      <c r="R1259" s="897"/>
      <c r="S1259" s="897"/>
      <c r="T1259" s="897"/>
      <c r="U1259" s="897"/>
      <c r="V1259" s="897"/>
      <c r="W1259" s="897"/>
      <c r="X1259" s="897"/>
      <c r="Y1259" s="897"/>
    </row>
    <row r="1260" spans="1:25">
      <c r="A1260" s="896"/>
      <c r="B1260" s="896"/>
      <c r="C1260" s="896"/>
      <c r="D1260" s="896"/>
      <c r="E1260" s="896"/>
      <c r="R1260" s="897"/>
      <c r="S1260" s="897"/>
      <c r="T1260" s="897"/>
      <c r="U1260" s="897"/>
      <c r="V1260" s="897"/>
      <c r="W1260" s="897"/>
      <c r="X1260" s="897"/>
      <c r="Y1260" s="897"/>
    </row>
    <row r="1261" spans="1:25">
      <c r="A1261" s="896"/>
      <c r="B1261" s="896"/>
      <c r="C1261" s="896"/>
      <c r="D1261" s="896"/>
      <c r="E1261" s="896"/>
      <c r="R1261" s="897"/>
      <c r="S1261" s="897"/>
      <c r="T1261" s="897"/>
      <c r="U1261" s="897"/>
      <c r="V1261" s="897"/>
      <c r="W1261" s="897"/>
      <c r="X1261" s="897"/>
      <c r="Y1261" s="897"/>
    </row>
    <row r="1262" spans="1:25">
      <c r="A1262" s="896"/>
      <c r="B1262" s="896"/>
      <c r="C1262" s="896"/>
      <c r="D1262" s="896"/>
      <c r="E1262" s="896"/>
      <c r="R1262" s="897"/>
      <c r="S1262" s="897"/>
      <c r="T1262" s="897"/>
      <c r="U1262" s="897"/>
      <c r="V1262" s="897"/>
      <c r="W1262" s="897"/>
      <c r="X1262" s="897"/>
      <c r="Y1262" s="897"/>
    </row>
    <row r="1263" spans="1:25">
      <c r="A1263" s="896"/>
      <c r="B1263" s="896"/>
      <c r="C1263" s="896"/>
      <c r="D1263" s="896"/>
      <c r="E1263" s="896"/>
      <c r="R1263" s="897"/>
      <c r="S1263" s="897"/>
      <c r="T1263" s="897"/>
      <c r="U1263" s="897"/>
      <c r="V1263" s="897"/>
      <c r="W1263" s="897"/>
      <c r="X1263" s="897"/>
      <c r="Y1263" s="897"/>
    </row>
    <row r="1264" spans="1:25">
      <c r="A1264" s="896"/>
      <c r="B1264" s="896"/>
      <c r="C1264" s="896"/>
      <c r="D1264" s="896"/>
      <c r="E1264" s="896"/>
      <c r="R1264" s="897"/>
      <c r="S1264" s="897"/>
      <c r="T1264" s="897"/>
      <c r="U1264" s="897"/>
      <c r="V1264" s="897"/>
      <c r="W1264" s="897"/>
      <c r="X1264" s="897"/>
      <c r="Y1264" s="897"/>
    </row>
    <row r="1265" spans="1:25">
      <c r="A1265" s="896"/>
      <c r="B1265" s="896"/>
      <c r="C1265" s="896"/>
      <c r="D1265" s="896"/>
      <c r="E1265" s="896"/>
      <c r="R1265" s="897"/>
      <c r="S1265" s="897"/>
      <c r="T1265" s="897"/>
      <c r="U1265" s="897"/>
      <c r="V1265" s="897"/>
      <c r="W1265" s="897"/>
      <c r="X1265" s="897"/>
      <c r="Y1265" s="897"/>
    </row>
    <row r="1266" spans="1:25">
      <c r="A1266" s="896"/>
      <c r="B1266" s="896"/>
      <c r="C1266" s="896"/>
      <c r="D1266" s="896"/>
      <c r="E1266" s="896"/>
      <c r="R1266" s="897"/>
      <c r="S1266" s="897"/>
      <c r="T1266" s="897"/>
      <c r="U1266" s="897"/>
      <c r="V1266" s="897"/>
      <c r="W1266" s="897"/>
      <c r="X1266" s="897"/>
      <c r="Y1266" s="897"/>
    </row>
    <row r="1267" spans="1:25">
      <c r="A1267" s="896"/>
      <c r="B1267" s="896"/>
      <c r="C1267" s="896"/>
      <c r="D1267" s="896"/>
      <c r="E1267" s="896"/>
      <c r="R1267" s="897"/>
      <c r="S1267" s="897"/>
      <c r="T1267" s="897"/>
      <c r="U1267" s="897"/>
      <c r="V1267" s="897"/>
      <c r="W1267" s="897"/>
      <c r="X1267" s="897"/>
      <c r="Y1267" s="897"/>
    </row>
    <row r="1268" spans="1:25">
      <c r="A1268" s="896"/>
      <c r="B1268" s="896"/>
      <c r="C1268" s="896"/>
      <c r="D1268" s="896"/>
      <c r="E1268" s="896"/>
      <c r="R1268" s="897"/>
      <c r="S1268" s="897"/>
      <c r="T1268" s="897"/>
      <c r="U1268" s="897"/>
      <c r="V1268" s="897"/>
      <c r="W1268" s="897"/>
      <c r="X1268" s="897"/>
      <c r="Y1268" s="897"/>
    </row>
    <row r="1269" spans="1:25">
      <c r="A1269" s="896"/>
      <c r="B1269" s="896"/>
      <c r="C1269" s="896"/>
      <c r="D1269" s="896"/>
      <c r="E1269" s="896"/>
      <c r="R1269" s="897"/>
      <c r="S1269" s="897"/>
      <c r="T1269" s="897"/>
      <c r="U1269" s="897"/>
      <c r="V1269" s="897"/>
      <c r="W1269" s="897"/>
      <c r="X1269" s="897"/>
      <c r="Y1269" s="897"/>
    </row>
    <row r="1270" spans="1:25">
      <c r="A1270" s="896"/>
      <c r="B1270" s="896"/>
      <c r="C1270" s="896"/>
      <c r="D1270" s="896"/>
      <c r="E1270" s="896"/>
      <c r="R1270" s="897"/>
      <c r="S1270" s="897"/>
      <c r="T1270" s="897"/>
      <c r="U1270" s="897"/>
      <c r="V1270" s="897"/>
      <c r="W1270" s="897"/>
      <c r="X1270" s="897"/>
      <c r="Y1270" s="897"/>
    </row>
    <row r="1271" spans="1:25">
      <c r="A1271" s="896"/>
      <c r="B1271" s="896"/>
      <c r="C1271" s="896"/>
      <c r="D1271" s="896"/>
      <c r="E1271" s="896"/>
      <c r="R1271" s="897"/>
      <c r="S1271" s="897"/>
      <c r="T1271" s="897"/>
      <c r="U1271" s="897"/>
      <c r="V1271" s="897"/>
      <c r="W1271" s="897"/>
      <c r="X1271" s="897"/>
      <c r="Y1271" s="897"/>
    </row>
    <row r="1272" spans="1:25">
      <c r="A1272" s="896"/>
      <c r="B1272" s="896"/>
      <c r="C1272" s="896"/>
      <c r="D1272" s="896"/>
      <c r="E1272" s="896"/>
      <c r="R1272" s="897"/>
      <c r="S1272" s="897"/>
      <c r="T1272" s="897"/>
      <c r="U1272" s="897"/>
      <c r="V1272" s="897"/>
      <c r="W1272" s="897"/>
      <c r="X1272" s="897"/>
      <c r="Y1272" s="897"/>
    </row>
    <row r="1273" spans="1:25">
      <c r="A1273" s="896"/>
      <c r="B1273" s="896"/>
      <c r="C1273" s="896"/>
      <c r="D1273" s="896"/>
      <c r="E1273" s="896"/>
      <c r="R1273" s="897"/>
      <c r="S1273" s="897"/>
      <c r="T1273" s="897"/>
      <c r="U1273" s="897"/>
      <c r="V1273" s="897"/>
      <c r="W1273" s="897"/>
      <c r="X1273" s="897"/>
      <c r="Y1273" s="897"/>
    </row>
    <row r="1274" spans="1:25">
      <c r="A1274" s="896"/>
      <c r="B1274" s="896"/>
      <c r="C1274" s="896"/>
      <c r="D1274" s="896"/>
      <c r="E1274" s="896"/>
      <c r="R1274" s="897"/>
      <c r="S1274" s="897"/>
      <c r="T1274" s="897"/>
      <c r="U1274" s="897"/>
      <c r="V1274" s="897"/>
      <c r="W1274" s="897"/>
      <c r="X1274" s="897"/>
      <c r="Y1274" s="897"/>
    </row>
    <row r="1275" spans="1:25">
      <c r="A1275" s="896"/>
      <c r="B1275" s="896"/>
      <c r="C1275" s="896"/>
      <c r="D1275" s="896"/>
      <c r="E1275" s="896"/>
      <c r="R1275" s="897"/>
      <c r="S1275" s="897"/>
      <c r="T1275" s="897"/>
      <c r="U1275" s="897"/>
      <c r="V1275" s="897"/>
      <c r="W1275" s="897"/>
      <c r="X1275" s="897"/>
      <c r="Y1275" s="897"/>
    </row>
    <row r="1276" spans="1:25">
      <c r="A1276" s="896"/>
      <c r="B1276" s="896"/>
      <c r="C1276" s="896"/>
      <c r="D1276" s="896"/>
      <c r="E1276" s="896"/>
      <c r="R1276" s="897"/>
      <c r="S1276" s="897"/>
      <c r="T1276" s="897"/>
      <c r="U1276" s="897"/>
      <c r="V1276" s="897"/>
      <c r="W1276" s="897"/>
      <c r="X1276" s="897"/>
      <c r="Y1276" s="897"/>
    </row>
    <row r="1277" spans="1:25">
      <c r="A1277" s="896"/>
      <c r="B1277" s="896"/>
      <c r="C1277" s="896"/>
      <c r="D1277" s="896"/>
      <c r="E1277" s="896"/>
      <c r="R1277" s="897"/>
      <c r="S1277" s="897"/>
      <c r="T1277" s="897"/>
      <c r="U1277" s="897"/>
      <c r="V1277" s="897"/>
      <c r="W1277" s="897"/>
      <c r="X1277" s="897"/>
      <c r="Y1277" s="897"/>
    </row>
    <row r="1278" spans="1:25">
      <c r="A1278" s="896"/>
      <c r="B1278" s="896"/>
      <c r="C1278" s="896"/>
      <c r="D1278" s="896"/>
      <c r="E1278" s="896"/>
      <c r="R1278" s="897"/>
      <c r="S1278" s="897"/>
      <c r="T1278" s="897"/>
      <c r="U1278" s="897"/>
      <c r="V1278" s="897"/>
      <c r="W1278" s="897"/>
      <c r="X1278" s="897"/>
      <c r="Y1278" s="897"/>
    </row>
    <row r="1279" spans="1:25">
      <c r="A1279" s="896"/>
      <c r="B1279" s="896"/>
      <c r="C1279" s="896"/>
      <c r="D1279" s="896"/>
      <c r="E1279" s="896"/>
      <c r="R1279" s="897"/>
      <c r="S1279" s="897"/>
      <c r="T1279" s="897"/>
      <c r="U1279" s="897"/>
      <c r="V1279" s="897"/>
      <c r="W1279" s="897"/>
      <c r="X1279" s="897"/>
      <c r="Y1279" s="897"/>
    </row>
    <row r="1280" spans="1:25">
      <c r="A1280" s="896"/>
      <c r="B1280" s="896"/>
      <c r="C1280" s="896"/>
      <c r="D1280" s="896"/>
      <c r="E1280" s="896"/>
      <c r="R1280" s="897"/>
      <c r="S1280" s="897"/>
      <c r="T1280" s="897"/>
      <c r="U1280" s="897"/>
      <c r="V1280" s="897"/>
      <c r="W1280" s="897"/>
      <c r="X1280" s="897"/>
      <c r="Y1280" s="897"/>
    </row>
    <row r="1281" spans="1:25">
      <c r="A1281" s="896"/>
      <c r="B1281" s="896"/>
      <c r="C1281" s="896"/>
      <c r="D1281" s="896"/>
      <c r="E1281" s="896"/>
      <c r="R1281" s="897"/>
      <c r="S1281" s="897"/>
      <c r="T1281" s="897"/>
      <c r="U1281" s="897"/>
      <c r="V1281" s="897"/>
      <c r="W1281" s="897"/>
      <c r="X1281" s="897"/>
      <c r="Y1281" s="897"/>
    </row>
    <row r="1282" spans="1:25">
      <c r="A1282" s="896"/>
      <c r="B1282" s="896"/>
      <c r="C1282" s="896"/>
      <c r="D1282" s="896"/>
      <c r="E1282" s="896"/>
      <c r="R1282" s="897"/>
      <c r="S1282" s="897"/>
      <c r="T1282" s="897"/>
      <c r="U1282" s="897"/>
      <c r="V1282" s="897"/>
      <c r="W1282" s="897"/>
      <c r="X1282" s="897"/>
      <c r="Y1282" s="897"/>
    </row>
    <row r="1283" spans="1:25">
      <c r="A1283" s="896"/>
      <c r="B1283" s="896"/>
      <c r="C1283" s="896"/>
      <c r="D1283" s="896"/>
      <c r="E1283" s="896"/>
      <c r="R1283" s="897"/>
      <c r="S1283" s="897"/>
      <c r="T1283" s="897"/>
      <c r="U1283" s="897"/>
      <c r="V1283" s="897"/>
      <c r="W1283" s="897"/>
      <c r="X1283" s="897"/>
      <c r="Y1283" s="897"/>
    </row>
    <row r="1284" spans="1:25">
      <c r="A1284" s="896"/>
      <c r="B1284" s="896"/>
      <c r="C1284" s="896"/>
      <c r="D1284" s="896"/>
      <c r="E1284" s="896"/>
      <c r="R1284" s="897"/>
      <c r="S1284" s="897"/>
      <c r="T1284" s="897"/>
      <c r="U1284" s="897"/>
      <c r="V1284" s="897"/>
      <c r="W1284" s="897"/>
      <c r="X1284" s="897"/>
      <c r="Y1284" s="897"/>
    </row>
    <row r="1285" spans="1:25">
      <c r="A1285" s="896"/>
      <c r="B1285" s="896"/>
      <c r="C1285" s="896"/>
      <c r="D1285" s="896"/>
      <c r="E1285" s="896"/>
      <c r="R1285" s="897"/>
      <c r="S1285" s="897"/>
      <c r="T1285" s="897"/>
      <c r="U1285" s="897"/>
      <c r="V1285" s="897"/>
      <c r="W1285" s="897"/>
      <c r="X1285" s="897"/>
      <c r="Y1285" s="897"/>
    </row>
    <row r="1286" spans="1:25">
      <c r="A1286" s="896"/>
      <c r="B1286" s="896"/>
      <c r="C1286" s="896"/>
      <c r="D1286" s="896"/>
      <c r="E1286" s="896"/>
      <c r="R1286" s="897"/>
      <c r="S1286" s="897"/>
      <c r="T1286" s="897"/>
      <c r="U1286" s="897"/>
      <c r="V1286" s="897"/>
      <c r="W1286" s="897"/>
      <c r="X1286" s="897"/>
      <c r="Y1286" s="897"/>
    </row>
    <row r="1287" spans="1:25">
      <c r="A1287" s="896"/>
      <c r="B1287" s="896"/>
      <c r="C1287" s="896"/>
      <c r="D1287" s="896"/>
      <c r="E1287" s="896"/>
      <c r="R1287" s="897"/>
      <c r="S1287" s="897"/>
      <c r="T1287" s="897"/>
      <c r="U1287" s="897"/>
      <c r="V1287" s="897"/>
      <c r="W1287" s="897"/>
      <c r="X1287" s="897"/>
      <c r="Y1287" s="897"/>
    </row>
    <row r="1288" spans="1:25">
      <c r="A1288" s="896"/>
      <c r="B1288" s="896"/>
      <c r="C1288" s="896"/>
      <c r="D1288" s="896"/>
      <c r="E1288" s="896"/>
      <c r="R1288" s="897"/>
      <c r="S1288" s="897"/>
      <c r="T1288" s="897"/>
      <c r="U1288" s="897"/>
      <c r="V1288" s="897"/>
      <c r="W1288" s="897"/>
      <c r="X1288" s="897"/>
      <c r="Y1288" s="897"/>
    </row>
    <row r="1289" spans="1:25">
      <c r="A1289" s="896"/>
      <c r="B1289" s="896"/>
      <c r="C1289" s="896"/>
      <c r="D1289" s="896"/>
      <c r="E1289" s="896"/>
      <c r="R1289" s="897"/>
      <c r="S1289" s="897"/>
      <c r="T1289" s="897"/>
      <c r="U1289" s="897"/>
      <c r="V1289" s="897"/>
      <c r="W1289" s="897"/>
      <c r="X1289" s="897"/>
      <c r="Y1289" s="897"/>
    </row>
    <row r="1290" spans="1:25">
      <c r="A1290" s="896"/>
      <c r="B1290" s="896"/>
      <c r="C1290" s="896"/>
      <c r="D1290" s="896"/>
      <c r="E1290" s="896"/>
      <c r="R1290" s="897"/>
      <c r="S1290" s="897"/>
      <c r="T1290" s="897"/>
      <c r="U1290" s="897"/>
      <c r="V1290" s="897"/>
      <c r="W1290" s="897"/>
      <c r="X1290" s="897"/>
      <c r="Y1290" s="897"/>
    </row>
    <row r="1291" spans="1:25">
      <c r="A1291" s="896"/>
      <c r="B1291" s="896"/>
      <c r="C1291" s="896"/>
      <c r="D1291" s="896"/>
      <c r="E1291" s="896"/>
      <c r="R1291" s="897"/>
      <c r="S1291" s="897"/>
      <c r="T1291" s="897"/>
      <c r="U1291" s="897"/>
      <c r="V1291" s="897"/>
      <c r="W1291" s="897"/>
      <c r="X1291" s="897"/>
      <c r="Y1291" s="897"/>
    </row>
    <row r="1292" spans="1:25">
      <c r="A1292" s="896"/>
      <c r="B1292" s="896"/>
      <c r="C1292" s="896"/>
      <c r="D1292" s="896"/>
      <c r="E1292" s="896"/>
      <c r="R1292" s="897"/>
      <c r="S1292" s="897"/>
      <c r="T1292" s="897"/>
      <c r="U1292" s="897"/>
      <c r="V1292" s="897"/>
      <c r="W1292" s="897"/>
      <c r="X1292" s="897"/>
      <c r="Y1292" s="897"/>
    </row>
    <row r="1293" spans="1:25">
      <c r="A1293" s="896"/>
      <c r="B1293" s="896"/>
      <c r="C1293" s="896"/>
      <c r="D1293" s="896"/>
      <c r="E1293" s="896"/>
      <c r="R1293" s="897"/>
      <c r="S1293" s="897"/>
      <c r="T1293" s="897"/>
      <c r="U1293" s="897"/>
      <c r="V1293" s="897"/>
      <c r="W1293" s="897"/>
      <c r="X1293" s="897"/>
      <c r="Y1293" s="897"/>
    </row>
    <row r="1294" spans="1:25">
      <c r="A1294" s="896"/>
      <c r="B1294" s="896"/>
      <c r="C1294" s="896"/>
      <c r="D1294" s="896"/>
      <c r="E1294" s="896"/>
      <c r="R1294" s="897"/>
      <c r="S1294" s="897"/>
      <c r="T1294" s="897"/>
      <c r="U1294" s="897"/>
      <c r="V1294" s="897"/>
      <c r="W1294" s="897"/>
      <c r="X1294" s="897"/>
      <c r="Y1294" s="897"/>
    </row>
    <row r="1295" spans="1:25">
      <c r="A1295" s="896"/>
      <c r="B1295" s="896"/>
      <c r="C1295" s="896"/>
      <c r="D1295" s="896"/>
      <c r="E1295" s="896"/>
      <c r="R1295" s="897"/>
      <c r="S1295" s="897"/>
      <c r="T1295" s="897"/>
      <c r="U1295" s="897"/>
      <c r="V1295" s="897"/>
      <c r="W1295" s="897"/>
      <c r="X1295" s="897"/>
      <c r="Y1295" s="897"/>
    </row>
    <row r="1296" spans="1:25">
      <c r="A1296" s="896"/>
      <c r="B1296" s="896"/>
      <c r="C1296" s="896"/>
      <c r="D1296" s="896"/>
      <c r="E1296" s="896"/>
      <c r="R1296" s="897"/>
      <c r="S1296" s="897"/>
      <c r="T1296" s="897"/>
      <c r="U1296" s="897"/>
      <c r="V1296" s="897"/>
      <c r="W1296" s="897"/>
      <c r="X1296" s="897"/>
      <c r="Y1296" s="897"/>
    </row>
    <row r="1297" spans="1:25">
      <c r="A1297" s="896"/>
      <c r="B1297" s="896"/>
      <c r="C1297" s="896"/>
      <c r="D1297" s="896"/>
      <c r="E1297" s="896"/>
      <c r="R1297" s="897"/>
      <c r="S1297" s="897"/>
      <c r="T1297" s="897"/>
      <c r="U1297" s="897"/>
      <c r="V1297" s="897"/>
      <c r="W1297" s="897"/>
      <c r="X1297" s="897"/>
      <c r="Y1297" s="897"/>
    </row>
    <row r="1298" spans="1:25">
      <c r="A1298" s="896"/>
      <c r="B1298" s="896"/>
      <c r="C1298" s="896"/>
      <c r="D1298" s="896"/>
      <c r="E1298" s="896"/>
      <c r="R1298" s="897"/>
      <c r="S1298" s="897"/>
      <c r="T1298" s="897"/>
      <c r="U1298" s="897"/>
      <c r="V1298" s="897"/>
      <c r="W1298" s="897"/>
      <c r="X1298" s="897"/>
      <c r="Y1298" s="897"/>
    </row>
    <row r="1299" spans="1:25">
      <c r="A1299" s="896"/>
      <c r="B1299" s="896"/>
      <c r="C1299" s="896"/>
      <c r="D1299" s="896"/>
      <c r="E1299" s="896"/>
      <c r="R1299" s="897"/>
      <c r="S1299" s="897"/>
      <c r="T1299" s="897"/>
      <c r="U1299" s="897"/>
      <c r="V1299" s="897"/>
      <c r="W1299" s="897"/>
      <c r="X1299" s="897"/>
      <c r="Y1299" s="897"/>
    </row>
    <row r="1300" spans="1:25">
      <c r="A1300" s="896"/>
      <c r="B1300" s="896"/>
      <c r="C1300" s="896"/>
      <c r="D1300" s="896"/>
      <c r="E1300" s="896"/>
      <c r="R1300" s="897"/>
      <c r="S1300" s="897"/>
      <c r="T1300" s="897"/>
      <c r="U1300" s="897"/>
      <c r="V1300" s="897"/>
      <c r="W1300" s="897"/>
      <c r="X1300" s="897"/>
      <c r="Y1300" s="897"/>
    </row>
    <row r="1301" spans="1:25">
      <c r="A1301" s="896"/>
      <c r="B1301" s="896"/>
      <c r="C1301" s="896"/>
      <c r="D1301" s="896"/>
      <c r="E1301" s="896"/>
      <c r="R1301" s="897"/>
      <c r="S1301" s="897"/>
      <c r="T1301" s="897"/>
      <c r="U1301" s="897"/>
      <c r="V1301" s="897"/>
      <c r="W1301" s="897"/>
      <c r="X1301" s="897"/>
      <c r="Y1301" s="897"/>
    </row>
    <row r="1302" spans="1:25">
      <c r="A1302" s="896"/>
      <c r="B1302" s="896"/>
      <c r="C1302" s="896"/>
      <c r="D1302" s="896"/>
      <c r="E1302" s="896"/>
      <c r="R1302" s="897"/>
      <c r="S1302" s="897"/>
      <c r="T1302" s="897"/>
      <c r="U1302" s="897"/>
      <c r="V1302" s="897"/>
      <c r="W1302" s="897"/>
      <c r="X1302" s="897"/>
      <c r="Y1302" s="897"/>
    </row>
    <row r="1303" spans="1:25">
      <c r="A1303" s="896"/>
      <c r="B1303" s="896"/>
      <c r="C1303" s="896"/>
      <c r="D1303" s="896"/>
      <c r="E1303" s="896"/>
      <c r="R1303" s="897"/>
      <c r="S1303" s="897"/>
      <c r="T1303" s="897"/>
      <c r="U1303" s="897"/>
      <c r="V1303" s="897"/>
      <c r="W1303" s="897"/>
      <c r="X1303" s="897"/>
      <c r="Y1303" s="897"/>
    </row>
    <row r="1304" spans="1:25">
      <c r="A1304" s="896"/>
      <c r="B1304" s="896"/>
      <c r="C1304" s="896"/>
      <c r="D1304" s="896"/>
      <c r="E1304" s="896"/>
      <c r="R1304" s="897"/>
      <c r="S1304" s="897"/>
      <c r="T1304" s="897"/>
      <c r="U1304" s="897"/>
      <c r="V1304" s="897"/>
      <c r="W1304" s="897"/>
      <c r="X1304" s="897"/>
      <c r="Y1304" s="897"/>
    </row>
    <row r="1305" spans="1:25">
      <c r="A1305" s="896"/>
      <c r="B1305" s="896"/>
      <c r="C1305" s="896"/>
      <c r="D1305" s="896"/>
      <c r="E1305" s="896"/>
      <c r="R1305" s="897"/>
      <c r="S1305" s="897"/>
      <c r="T1305" s="897"/>
      <c r="U1305" s="897"/>
      <c r="V1305" s="897"/>
      <c r="W1305" s="897"/>
      <c r="X1305" s="897"/>
      <c r="Y1305" s="897"/>
    </row>
    <row r="1306" spans="1:25">
      <c r="A1306" s="896"/>
      <c r="B1306" s="896"/>
      <c r="C1306" s="896"/>
      <c r="D1306" s="896"/>
      <c r="E1306" s="896"/>
      <c r="R1306" s="897"/>
      <c r="S1306" s="897"/>
      <c r="T1306" s="897"/>
      <c r="U1306" s="897"/>
      <c r="V1306" s="897"/>
      <c r="W1306" s="897"/>
      <c r="X1306" s="897"/>
      <c r="Y1306" s="897"/>
    </row>
    <row r="1307" spans="1:25">
      <c r="A1307" s="896"/>
      <c r="B1307" s="896"/>
      <c r="C1307" s="896"/>
      <c r="D1307" s="896"/>
      <c r="E1307" s="896"/>
      <c r="R1307" s="897"/>
      <c r="S1307" s="897"/>
      <c r="T1307" s="897"/>
      <c r="U1307" s="897"/>
      <c r="V1307" s="897"/>
      <c r="W1307" s="897"/>
      <c r="X1307" s="897"/>
      <c r="Y1307" s="897"/>
    </row>
    <row r="1308" spans="1:25">
      <c r="A1308" s="896"/>
      <c r="B1308" s="896"/>
      <c r="C1308" s="896"/>
      <c r="D1308" s="896"/>
      <c r="E1308" s="896"/>
      <c r="R1308" s="897"/>
      <c r="S1308" s="897"/>
      <c r="T1308" s="897"/>
      <c r="U1308" s="897"/>
      <c r="V1308" s="897"/>
      <c r="W1308" s="897"/>
      <c r="X1308" s="897"/>
      <c r="Y1308" s="897"/>
    </row>
    <row r="1309" spans="1:25">
      <c r="A1309" s="896"/>
      <c r="B1309" s="896"/>
      <c r="C1309" s="896"/>
      <c r="D1309" s="896"/>
      <c r="E1309" s="896"/>
      <c r="R1309" s="897"/>
      <c r="S1309" s="897"/>
      <c r="T1309" s="897"/>
      <c r="U1309" s="897"/>
      <c r="V1309" s="897"/>
      <c r="W1309" s="897"/>
      <c r="X1309" s="897"/>
      <c r="Y1309" s="897"/>
    </row>
    <row r="1310" spans="1:25">
      <c r="A1310" s="896"/>
      <c r="B1310" s="896"/>
      <c r="C1310" s="896"/>
      <c r="D1310" s="896"/>
      <c r="E1310" s="896"/>
      <c r="R1310" s="897"/>
      <c r="S1310" s="897"/>
      <c r="T1310" s="897"/>
      <c r="U1310" s="897"/>
      <c r="V1310" s="897"/>
      <c r="W1310" s="897"/>
      <c r="X1310" s="897"/>
      <c r="Y1310" s="897"/>
    </row>
    <row r="1311" spans="1:25">
      <c r="A1311" s="896"/>
      <c r="B1311" s="896"/>
      <c r="C1311" s="896"/>
      <c r="D1311" s="896"/>
      <c r="E1311" s="896"/>
      <c r="R1311" s="897"/>
      <c r="S1311" s="897"/>
      <c r="T1311" s="897"/>
      <c r="U1311" s="897"/>
      <c r="V1311" s="897"/>
      <c r="W1311" s="897"/>
      <c r="X1311" s="897"/>
      <c r="Y1311" s="897"/>
    </row>
    <row r="1312" spans="1:25">
      <c r="A1312" s="896"/>
      <c r="B1312" s="896"/>
      <c r="C1312" s="896"/>
      <c r="D1312" s="896"/>
      <c r="E1312" s="896"/>
      <c r="R1312" s="897"/>
      <c r="S1312" s="897"/>
      <c r="T1312" s="897"/>
      <c r="U1312" s="897"/>
      <c r="V1312" s="897"/>
      <c r="W1312" s="897"/>
      <c r="X1312" s="897"/>
      <c r="Y1312" s="897"/>
    </row>
    <row r="1313" spans="1:25">
      <c r="A1313" s="896"/>
      <c r="B1313" s="896"/>
      <c r="C1313" s="896"/>
      <c r="D1313" s="896"/>
      <c r="E1313" s="896"/>
      <c r="R1313" s="897"/>
      <c r="S1313" s="897"/>
      <c r="T1313" s="897"/>
      <c r="U1313" s="897"/>
      <c r="V1313" s="897"/>
      <c r="W1313" s="897"/>
      <c r="X1313" s="897"/>
      <c r="Y1313" s="897"/>
    </row>
    <row r="1314" spans="1:25">
      <c r="A1314" s="896"/>
      <c r="B1314" s="896"/>
      <c r="C1314" s="896"/>
      <c r="D1314" s="896"/>
      <c r="E1314" s="896"/>
      <c r="R1314" s="897"/>
      <c r="S1314" s="897"/>
      <c r="T1314" s="897"/>
      <c r="U1314" s="897"/>
      <c r="V1314" s="897"/>
      <c r="W1314" s="897"/>
      <c r="X1314" s="897"/>
      <c r="Y1314" s="897"/>
    </row>
    <row r="1315" spans="1:25">
      <c r="A1315" s="896"/>
      <c r="B1315" s="896"/>
      <c r="C1315" s="896"/>
      <c r="D1315" s="896"/>
      <c r="E1315" s="896"/>
      <c r="R1315" s="897"/>
      <c r="S1315" s="897"/>
      <c r="T1315" s="897"/>
      <c r="U1315" s="897"/>
      <c r="V1315" s="897"/>
      <c r="W1315" s="897"/>
      <c r="X1315" s="897"/>
      <c r="Y1315" s="897"/>
    </row>
    <row r="1316" spans="1:25">
      <c r="A1316" s="896"/>
      <c r="B1316" s="896"/>
      <c r="C1316" s="896"/>
      <c r="D1316" s="896"/>
      <c r="E1316" s="896"/>
      <c r="R1316" s="897"/>
      <c r="S1316" s="897"/>
      <c r="T1316" s="897"/>
      <c r="U1316" s="897"/>
      <c r="V1316" s="897"/>
      <c r="W1316" s="897"/>
      <c r="X1316" s="897"/>
      <c r="Y1316" s="897"/>
    </row>
    <row r="1317" spans="1:25">
      <c r="A1317" s="896"/>
      <c r="B1317" s="896"/>
      <c r="C1317" s="896"/>
      <c r="D1317" s="896"/>
      <c r="E1317" s="896"/>
      <c r="R1317" s="897"/>
      <c r="S1317" s="897"/>
      <c r="T1317" s="897"/>
      <c r="U1317" s="897"/>
      <c r="V1317" s="897"/>
      <c r="W1317" s="897"/>
      <c r="X1317" s="897"/>
      <c r="Y1317" s="897"/>
    </row>
    <row r="1318" spans="1:25">
      <c r="A1318" s="896"/>
      <c r="B1318" s="896"/>
      <c r="C1318" s="896"/>
      <c r="D1318" s="896"/>
      <c r="E1318" s="896"/>
      <c r="R1318" s="897"/>
      <c r="S1318" s="897"/>
      <c r="T1318" s="897"/>
      <c r="U1318" s="897"/>
      <c r="V1318" s="897"/>
      <c r="W1318" s="897"/>
      <c r="X1318" s="897"/>
      <c r="Y1318" s="897"/>
    </row>
    <row r="1319" spans="1:25">
      <c r="A1319" s="896"/>
      <c r="B1319" s="896"/>
      <c r="C1319" s="896"/>
      <c r="D1319" s="896"/>
      <c r="E1319" s="896"/>
      <c r="R1319" s="897"/>
      <c r="S1319" s="897"/>
      <c r="T1319" s="897"/>
      <c r="U1319" s="897"/>
      <c r="V1319" s="897"/>
      <c r="W1319" s="897"/>
      <c r="X1319" s="897"/>
      <c r="Y1319" s="897"/>
    </row>
    <row r="1320" spans="1:25">
      <c r="A1320" s="896"/>
      <c r="B1320" s="896"/>
      <c r="C1320" s="896"/>
      <c r="D1320" s="896"/>
      <c r="E1320" s="896"/>
      <c r="R1320" s="897"/>
      <c r="S1320" s="897"/>
      <c r="T1320" s="897"/>
      <c r="U1320" s="897"/>
      <c r="V1320" s="897"/>
      <c r="W1320" s="897"/>
      <c r="X1320" s="897"/>
      <c r="Y1320" s="897"/>
    </row>
    <row r="1321" spans="1:25">
      <c r="A1321" s="896"/>
      <c r="B1321" s="896"/>
      <c r="C1321" s="896"/>
      <c r="D1321" s="896"/>
      <c r="E1321" s="896"/>
      <c r="R1321" s="897"/>
      <c r="S1321" s="897"/>
      <c r="T1321" s="897"/>
      <c r="U1321" s="897"/>
      <c r="V1321" s="897"/>
      <c r="W1321" s="897"/>
      <c r="X1321" s="897"/>
      <c r="Y1321" s="897"/>
    </row>
    <row r="1322" spans="1:25">
      <c r="A1322" s="896"/>
      <c r="B1322" s="896"/>
      <c r="C1322" s="896"/>
      <c r="D1322" s="896"/>
      <c r="E1322" s="896"/>
      <c r="R1322" s="897"/>
      <c r="S1322" s="897"/>
      <c r="T1322" s="897"/>
      <c r="U1322" s="897"/>
      <c r="V1322" s="897"/>
      <c r="W1322" s="897"/>
      <c r="X1322" s="897"/>
      <c r="Y1322" s="897"/>
    </row>
    <row r="1323" spans="1:25">
      <c r="A1323" s="896"/>
      <c r="B1323" s="896"/>
      <c r="C1323" s="896"/>
      <c r="D1323" s="896"/>
      <c r="E1323" s="896"/>
      <c r="R1323" s="897"/>
      <c r="S1323" s="897"/>
      <c r="T1323" s="897"/>
      <c r="U1323" s="897"/>
      <c r="V1323" s="897"/>
      <c r="W1323" s="897"/>
      <c r="X1323" s="897"/>
      <c r="Y1323" s="897"/>
    </row>
    <row r="1324" spans="1:25">
      <c r="A1324" s="896"/>
      <c r="B1324" s="896"/>
      <c r="C1324" s="896"/>
      <c r="D1324" s="896"/>
      <c r="E1324" s="896"/>
      <c r="R1324" s="897"/>
      <c r="S1324" s="897"/>
      <c r="T1324" s="897"/>
      <c r="U1324" s="897"/>
      <c r="V1324" s="897"/>
      <c r="W1324" s="897"/>
      <c r="X1324" s="897"/>
      <c r="Y1324" s="897"/>
    </row>
    <row r="1325" spans="1:25">
      <c r="A1325" s="896"/>
      <c r="B1325" s="896"/>
      <c r="C1325" s="896"/>
      <c r="D1325" s="896"/>
      <c r="E1325" s="896"/>
      <c r="R1325" s="897"/>
      <c r="S1325" s="897"/>
      <c r="T1325" s="897"/>
      <c r="U1325" s="897"/>
      <c r="V1325" s="897"/>
      <c r="W1325" s="897"/>
      <c r="X1325" s="897"/>
      <c r="Y1325" s="897"/>
    </row>
    <row r="1326" spans="1:25">
      <c r="A1326" s="896"/>
      <c r="B1326" s="896"/>
      <c r="C1326" s="896"/>
      <c r="D1326" s="896"/>
      <c r="E1326" s="896"/>
      <c r="R1326" s="897"/>
      <c r="S1326" s="897"/>
      <c r="T1326" s="897"/>
      <c r="U1326" s="897"/>
      <c r="V1326" s="897"/>
      <c r="W1326" s="897"/>
      <c r="X1326" s="897"/>
      <c r="Y1326" s="897"/>
    </row>
    <row r="1327" spans="1:25">
      <c r="A1327" s="896"/>
      <c r="B1327" s="896"/>
      <c r="C1327" s="896"/>
      <c r="D1327" s="896"/>
      <c r="E1327" s="896"/>
      <c r="R1327" s="897"/>
      <c r="S1327" s="897"/>
      <c r="T1327" s="897"/>
      <c r="U1327" s="897"/>
      <c r="V1327" s="897"/>
      <c r="W1327" s="897"/>
      <c r="X1327" s="897"/>
      <c r="Y1327" s="897"/>
    </row>
    <row r="1328" spans="1:25">
      <c r="A1328" s="896"/>
      <c r="B1328" s="896"/>
      <c r="C1328" s="896"/>
      <c r="D1328" s="896"/>
      <c r="E1328" s="896"/>
      <c r="R1328" s="897"/>
      <c r="S1328" s="897"/>
      <c r="T1328" s="897"/>
      <c r="U1328" s="897"/>
      <c r="V1328" s="897"/>
      <c r="W1328" s="897"/>
      <c r="X1328" s="897"/>
      <c r="Y1328" s="897"/>
    </row>
    <row r="1329" spans="1:25">
      <c r="A1329" s="896"/>
      <c r="B1329" s="896"/>
      <c r="C1329" s="896"/>
      <c r="D1329" s="896"/>
      <c r="E1329" s="896"/>
      <c r="R1329" s="897"/>
      <c r="S1329" s="897"/>
      <c r="T1329" s="897"/>
      <c r="U1329" s="897"/>
      <c r="V1329" s="897"/>
      <c r="W1329" s="897"/>
      <c r="X1329" s="897"/>
      <c r="Y1329" s="897"/>
    </row>
    <row r="1330" spans="1:25">
      <c r="A1330" s="896"/>
      <c r="B1330" s="896"/>
      <c r="C1330" s="896"/>
      <c r="D1330" s="896"/>
      <c r="E1330" s="896"/>
      <c r="R1330" s="897"/>
      <c r="S1330" s="897"/>
      <c r="T1330" s="897"/>
      <c r="U1330" s="897"/>
      <c r="V1330" s="897"/>
      <c r="W1330" s="897"/>
      <c r="X1330" s="897"/>
      <c r="Y1330" s="897"/>
    </row>
    <row r="1331" spans="1:25">
      <c r="A1331" s="896"/>
      <c r="B1331" s="896"/>
      <c r="C1331" s="896"/>
      <c r="D1331" s="896"/>
      <c r="E1331" s="896"/>
      <c r="R1331" s="897"/>
      <c r="S1331" s="897"/>
      <c r="T1331" s="897"/>
      <c r="U1331" s="897"/>
      <c r="V1331" s="897"/>
      <c r="W1331" s="897"/>
      <c r="X1331" s="897"/>
      <c r="Y1331" s="897"/>
    </row>
    <row r="1332" spans="1:25">
      <c r="A1332" s="896"/>
      <c r="B1332" s="896"/>
      <c r="C1332" s="896"/>
      <c r="D1332" s="896"/>
      <c r="E1332" s="896"/>
      <c r="R1332" s="897"/>
      <c r="S1332" s="897"/>
      <c r="T1332" s="897"/>
      <c r="U1332" s="897"/>
      <c r="V1332" s="897"/>
      <c r="W1332" s="897"/>
      <c r="X1332" s="897"/>
      <c r="Y1332" s="897"/>
    </row>
    <row r="1333" spans="1:25">
      <c r="A1333" s="896"/>
      <c r="B1333" s="896"/>
      <c r="C1333" s="896"/>
      <c r="D1333" s="896"/>
      <c r="E1333" s="896"/>
      <c r="R1333" s="897"/>
      <c r="S1333" s="897"/>
      <c r="T1333" s="897"/>
      <c r="U1333" s="897"/>
      <c r="V1333" s="897"/>
      <c r="W1333" s="897"/>
      <c r="X1333" s="897"/>
      <c r="Y1333" s="897"/>
    </row>
    <row r="1334" spans="1:25">
      <c r="A1334" s="896"/>
      <c r="B1334" s="896"/>
      <c r="C1334" s="896"/>
      <c r="D1334" s="896"/>
      <c r="E1334" s="896"/>
      <c r="R1334" s="897"/>
      <c r="S1334" s="897"/>
      <c r="T1334" s="897"/>
      <c r="U1334" s="897"/>
      <c r="V1334" s="897"/>
      <c r="W1334" s="897"/>
      <c r="X1334" s="897"/>
      <c r="Y1334" s="897"/>
    </row>
    <row r="1335" spans="1:25">
      <c r="A1335" s="896"/>
      <c r="B1335" s="896"/>
      <c r="C1335" s="896"/>
      <c r="D1335" s="896"/>
      <c r="E1335" s="896"/>
      <c r="R1335" s="897"/>
      <c r="S1335" s="897"/>
      <c r="T1335" s="897"/>
      <c r="U1335" s="897"/>
      <c r="V1335" s="897"/>
      <c r="W1335" s="897"/>
      <c r="X1335" s="897"/>
      <c r="Y1335" s="897"/>
    </row>
    <row r="1336" spans="1:25">
      <c r="A1336" s="896"/>
      <c r="B1336" s="896"/>
      <c r="C1336" s="896"/>
      <c r="D1336" s="896"/>
      <c r="E1336" s="896"/>
      <c r="R1336" s="897"/>
      <c r="S1336" s="897"/>
      <c r="T1336" s="897"/>
      <c r="U1336" s="897"/>
      <c r="V1336" s="897"/>
      <c r="W1336" s="897"/>
      <c r="X1336" s="897"/>
      <c r="Y1336" s="897"/>
    </row>
    <row r="1337" spans="1:25">
      <c r="A1337" s="896"/>
      <c r="B1337" s="896"/>
      <c r="C1337" s="896"/>
      <c r="D1337" s="896"/>
      <c r="E1337" s="896"/>
      <c r="R1337" s="897"/>
      <c r="S1337" s="897"/>
      <c r="T1337" s="897"/>
      <c r="U1337" s="897"/>
      <c r="V1337" s="897"/>
      <c r="W1337" s="897"/>
      <c r="X1337" s="897"/>
      <c r="Y1337" s="897"/>
    </row>
    <row r="1338" spans="1:25">
      <c r="A1338" s="896"/>
      <c r="B1338" s="896"/>
      <c r="C1338" s="896"/>
      <c r="D1338" s="896"/>
      <c r="E1338" s="896"/>
      <c r="R1338" s="897"/>
      <c r="S1338" s="897"/>
      <c r="T1338" s="897"/>
      <c r="U1338" s="897"/>
      <c r="V1338" s="897"/>
      <c r="W1338" s="897"/>
      <c r="X1338" s="897"/>
      <c r="Y1338" s="897"/>
    </row>
    <row r="1339" spans="1:25">
      <c r="A1339" s="896"/>
      <c r="B1339" s="896"/>
      <c r="C1339" s="896"/>
      <c r="D1339" s="896"/>
      <c r="E1339" s="896"/>
      <c r="R1339" s="897"/>
      <c r="S1339" s="897"/>
      <c r="T1339" s="897"/>
      <c r="U1339" s="897"/>
      <c r="V1339" s="897"/>
      <c r="W1339" s="897"/>
      <c r="X1339" s="897"/>
      <c r="Y1339" s="897"/>
    </row>
    <row r="1340" spans="1:25">
      <c r="A1340" s="896"/>
      <c r="B1340" s="896"/>
      <c r="C1340" s="896"/>
      <c r="D1340" s="896"/>
      <c r="E1340" s="896"/>
      <c r="R1340" s="897"/>
      <c r="S1340" s="897"/>
      <c r="T1340" s="897"/>
      <c r="U1340" s="897"/>
      <c r="V1340" s="897"/>
      <c r="W1340" s="897"/>
      <c r="X1340" s="897"/>
      <c r="Y1340" s="897"/>
    </row>
    <row r="1341" spans="1:25">
      <c r="A1341" s="896"/>
      <c r="B1341" s="896"/>
      <c r="C1341" s="896"/>
      <c r="D1341" s="896"/>
      <c r="E1341" s="896"/>
      <c r="R1341" s="897"/>
      <c r="S1341" s="897"/>
      <c r="T1341" s="897"/>
      <c r="U1341" s="897"/>
      <c r="V1341" s="897"/>
      <c r="W1341" s="897"/>
      <c r="X1341" s="897"/>
      <c r="Y1341" s="897"/>
    </row>
    <row r="1342" spans="1:25">
      <c r="A1342" s="896"/>
      <c r="B1342" s="896"/>
      <c r="C1342" s="896"/>
      <c r="D1342" s="896"/>
      <c r="E1342" s="896"/>
      <c r="R1342" s="897"/>
      <c r="S1342" s="897"/>
      <c r="T1342" s="897"/>
      <c r="U1342" s="897"/>
      <c r="V1342" s="897"/>
      <c r="W1342" s="897"/>
      <c r="X1342" s="897"/>
      <c r="Y1342" s="897"/>
    </row>
    <row r="1343" spans="1:25">
      <c r="A1343" s="896"/>
      <c r="B1343" s="896"/>
      <c r="C1343" s="896"/>
      <c r="D1343" s="896"/>
      <c r="E1343" s="896"/>
      <c r="R1343" s="897"/>
      <c r="S1343" s="897"/>
      <c r="T1343" s="897"/>
      <c r="U1343" s="897"/>
      <c r="V1343" s="897"/>
      <c r="W1343" s="897"/>
      <c r="X1343" s="897"/>
      <c r="Y1343" s="897"/>
    </row>
    <row r="1344" spans="1:25">
      <c r="A1344" s="896"/>
      <c r="B1344" s="896"/>
      <c r="C1344" s="896"/>
      <c r="D1344" s="896"/>
      <c r="E1344" s="896"/>
      <c r="R1344" s="897"/>
      <c r="S1344" s="897"/>
      <c r="T1344" s="897"/>
      <c r="U1344" s="897"/>
      <c r="V1344" s="897"/>
      <c r="W1344" s="897"/>
      <c r="X1344" s="897"/>
      <c r="Y1344" s="897"/>
    </row>
    <row r="1345" spans="1:25">
      <c r="A1345" s="896"/>
      <c r="B1345" s="896"/>
      <c r="C1345" s="896"/>
      <c r="D1345" s="896"/>
      <c r="E1345" s="896"/>
      <c r="R1345" s="897"/>
      <c r="S1345" s="897"/>
      <c r="T1345" s="897"/>
      <c r="U1345" s="897"/>
      <c r="V1345" s="897"/>
      <c r="W1345" s="897"/>
      <c r="X1345" s="897"/>
      <c r="Y1345" s="897"/>
    </row>
    <row r="1346" spans="1:25">
      <c r="A1346" s="896"/>
      <c r="B1346" s="896"/>
      <c r="C1346" s="896"/>
      <c r="D1346" s="896"/>
      <c r="E1346" s="896"/>
      <c r="R1346" s="897"/>
      <c r="S1346" s="897"/>
      <c r="T1346" s="897"/>
      <c r="U1346" s="897"/>
      <c r="V1346" s="897"/>
      <c r="W1346" s="897"/>
      <c r="X1346" s="897"/>
      <c r="Y1346" s="897"/>
    </row>
    <row r="1347" spans="1:25">
      <c r="A1347" s="896"/>
      <c r="B1347" s="896"/>
      <c r="C1347" s="896"/>
      <c r="D1347" s="896"/>
      <c r="E1347" s="896"/>
      <c r="R1347" s="897"/>
      <c r="S1347" s="897"/>
      <c r="T1347" s="897"/>
      <c r="U1347" s="897"/>
      <c r="V1347" s="897"/>
      <c r="W1347" s="897"/>
      <c r="X1347" s="897"/>
      <c r="Y1347" s="897"/>
    </row>
    <row r="1348" spans="1:25">
      <c r="A1348" s="896"/>
      <c r="B1348" s="896"/>
      <c r="C1348" s="896"/>
      <c r="D1348" s="896"/>
      <c r="E1348" s="896"/>
      <c r="R1348" s="897"/>
      <c r="S1348" s="897"/>
      <c r="T1348" s="897"/>
      <c r="U1348" s="897"/>
      <c r="V1348" s="897"/>
      <c r="W1348" s="897"/>
      <c r="X1348" s="897"/>
      <c r="Y1348" s="897"/>
    </row>
    <row r="1349" spans="1:25">
      <c r="A1349" s="896"/>
      <c r="B1349" s="896"/>
      <c r="C1349" s="896"/>
      <c r="D1349" s="896"/>
      <c r="E1349" s="896"/>
      <c r="R1349" s="897"/>
      <c r="S1349" s="897"/>
      <c r="T1349" s="897"/>
      <c r="U1349" s="897"/>
      <c r="V1349" s="897"/>
      <c r="W1349" s="897"/>
      <c r="X1349" s="897"/>
      <c r="Y1349" s="897"/>
    </row>
    <row r="1350" spans="1:25">
      <c r="A1350" s="896"/>
      <c r="B1350" s="896"/>
      <c r="C1350" s="896"/>
      <c r="D1350" s="896"/>
      <c r="E1350" s="896"/>
      <c r="R1350" s="897"/>
      <c r="S1350" s="897"/>
      <c r="T1350" s="897"/>
      <c r="U1350" s="897"/>
      <c r="V1350" s="897"/>
      <c r="W1350" s="897"/>
      <c r="X1350" s="897"/>
      <c r="Y1350" s="897"/>
    </row>
    <row r="1351" spans="1:25">
      <c r="A1351" s="896"/>
      <c r="B1351" s="896"/>
      <c r="C1351" s="896"/>
      <c r="D1351" s="896"/>
      <c r="E1351" s="896"/>
      <c r="R1351" s="897"/>
      <c r="S1351" s="897"/>
      <c r="T1351" s="897"/>
      <c r="U1351" s="897"/>
      <c r="V1351" s="897"/>
      <c r="W1351" s="897"/>
      <c r="X1351" s="897"/>
      <c r="Y1351" s="897"/>
    </row>
    <row r="1352" spans="1:25">
      <c r="A1352" s="896"/>
      <c r="B1352" s="896"/>
      <c r="C1352" s="896"/>
      <c r="D1352" s="896"/>
      <c r="E1352" s="896"/>
      <c r="R1352" s="897"/>
      <c r="S1352" s="897"/>
      <c r="T1352" s="897"/>
      <c r="U1352" s="897"/>
      <c r="V1352" s="897"/>
      <c r="W1352" s="897"/>
      <c r="X1352" s="897"/>
      <c r="Y1352" s="897"/>
    </row>
    <row r="1353" spans="1:25">
      <c r="A1353" s="896"/>
      <c r="B1353" s="896"/>
      <c r="C1353" s="896"/>
      <c r="D1353" s="896"/>
      <c r="E1353" s="896"/>
      <c r="R1353" s="897"/>
      <c r="S1353" s="897"/>
      <c r="T1353" s="897"/>
      <c r="U1353" s="897"/>
      <c r="V1353" s="897"/>
      <c r="W1353" s="897"/>
      <c r="X1353" s="897"/>
      <c r="Y1353" s="897"/>
    </row>
    <row r="1354" spans="1:25">
      <c r="A1354" s="896"/>
      <c r="B1354" s="896"/>
      <c r="C1354" s="896"/>
      <c r="D1354" s="896"/>
      <c r="E1354" s="896"/>
      <c r="R1354" s="897"/>
      <c r="S1354" s="897"/>
      <c r="T1354" s="897"/>
      <c r="U1354" s="897"/>
      <c r="V1354" s="897"/>
      <c r="W1354" s="897"/>
      <c r="X1354" s="897"/>
      <c r="Y1354" s="897"/>
    </row>
    <row r="1355" spans="1:25">
      <c r="A1355" s="896"/>
      <c r="B1355" s="896"/>
      <c r="C1355" s="896"/>
      <c r="D1355" s="896"/>
      <c r="E1355" s="896"/>
      <c r="R1355" s="897"/>
      <c r="S1355" s="897"/>
      <c r="T1355" s="897"/>
      <c r="U1355" s="897"/>
      <c r="V1355" s="897"/>
      <c r="W1355" s="897"/>
      <c r="X1355" s="897"/>
      <c r="Y1355" s="897"/>
    </row>
    <row r="1356" spans="1:25">
      <c r="A1356" s="896"/>
      <c r="B1356" s="896"/>
      <c r="C1356" s="896"/>
      <c r="D1356" s="896"/>
      <c r="E1356" s="896"/>
      <c r="R1356" s="897"/>
      <c r="S1356" s="897"/>
      <c r="T1356" s="897"/>
      <c r="U1356" s="897"/>
      <c r="V1356" s="897"/>
      <c r="W1356" s="897"/>
      <c r="X1356" s="897"/>
      <c r="Y1356" s="897"/>
    </row>
    <row r="1357" spans="1:25">
      <c r="A1357" s="896"/>
      <c r="B1357" s="896"/>
      <c r="C1357" s="896"/>
      <c r="D1357" s="896"/>
      <c r="E1357" s="896"/>
      <c r="R1357" s="897"/>
      <c r="S1357" s="897"/>
      <c r="T1357" s="897"/>
      <c r="U1357" s="897"/>
      <c r="V1357" s="897"/>
      <c r="W1357" s="897"/>
      <c r="X1357" s="897"/>
      <c r="Y1357" s="897"/>
    </row>
    <row r="1358" spans="1:25">
      <c r="A1358" s="896"/>
      <c r="B1358" s="896"/>
      <c r="C1358" s="896"/>
      <c r="D1358" s="896"/>
      <c r="E1358" s="896"/>
      <c r="R1358" s="897"/>
      <c r="S1358" s="897"/>
      <c r="T1358" s="897"/>
      <c r="U1358" s="897"/>
      <c r="V1358" s="897"/>
      <c r="W1358" s="897"/>
      <c r="X1358" s="897"/>
      <c r="Y1358" s="897"/>
    </row>
    <row r="1359" spans="1:25">
      <c r="A1359" s="896"/>
      <c r="B1359" s="896"/>
      <c r="C1359" s="896"/>
      <c r="D1359" s="896"/>
      <c r="E1359" s="896"/>
      <c r="R1359" s="897"/>
      <c r="S1359" s="897"/>
      <c r="T1359" s="897"/>
      <c r="U1359" s="897"/>
      <c r="V1359" s="897"/>
      <c r="W1359" s="897"/>
      <c r="X1359" s="897"/>
      <c r="Y1359" s="897"/>
    </row>
    <row r="1360" spans="1:25">
      <c r="A1360" s="896"/>
      <c r="B1360" s="896"/>
      <c r="C1360" s="896"/>
      <c r="D1360" s="896"/>
      <c r="E1360" s="896"/>
      <c r="R1360" s="897"/>
      <c r="S1360" s="897"/>
      <c r="T1360" s="897"/>
      <c r="U1360" s="897"/>
      <c r="V1360" s="897"/>
      <c r="W1360" s="897"/>
      <c r="X1360" s="897"/>
      <c r="Y1360" s="897"/>
    </row>
    <row r="1361" spans="1:25">
      <c r="A1361" s="896"/>
      <c r="B1361" s="896"/>
      <c r="C1361" s="896"/>
      <c r="D1361" s="896"/>
      <c r="E1361" s="896"/>
      <c r="R1361" s="897"/>
      <c r="S1361" s="897"/>
      <c r="T1361" s="897"/>
      <c r="U1361" s="897"/>
      <c r="V1361" s="897"/>
      <c r="W1361" s="897"/>
      <c r="X1361" s="897"/>
      <c r="Y1361" s="897"/>
    </row>
    <row r="1362" spans="1:25">
      <c r="A1362" s="896"/>
      <c r="B1362" s="896"/>
      <c r="C1362" s="896"/>
      <c r="D1362" s="896"/>
      <c r="E1362" s="896"/>
      <c r="R1362" s="897"/>
      <c r="S1362" s="897"/>
      <c r="T1362" s="897"/>
      <c r="U1362" s="897"/>
      <c r="V1362" s="897"/>
      <c r="W1362" s="897"/>
      <c r="X1362" s="897"/>
      <c r="Y1362" s="897"/>
    </row>
    <row r="1363" spans="1:25">
      <c r="A1363" s="896"/>
      <c r="B1363" s="896"/>
      <c r="C1363" s="896"/>
      <c r="D1363" s="896"/>
      <c r="E1363" s="896"/>
      <c r="R1363" s="897"/>
      <c r="S1363" s="897"/>
      <c r="T1363" s="897"/>
      <c r="U1363" s="897"/>
      <c r="V1363" s="897"/>
      <c r="W1363" s="897"/>
      <c r="X1363" s="897"/>
      <c r="Y1363" s="897"/>
    </row>
    <row r="1364" spans="1:25">
      <c r="A1364" s="896"/>
      <c r="B1364" s="896"/>
      <c r="C1364" s="896"/>
      <c r="D1364" s="896"/>
      <c r="E1364" s="896"/>
      <c r="R1364" s="897"/>
      <c r="S1364" s="897"/>
      <c r="T1364" s="897"/>
      <c r="U1364" s="897"/>
      <c r="V1364" s="897"/>
      <c r="W1364" s="897"/>
      <c r="X1364" s="897"/>
      <c r="Y1364" s="897"/>
    </row>
    <row r="1365" spans="1:25">
      <c r="A1365" s="896"/>
      <c r="B1365" s="896"/>
      <c r="C1365" s="896"/>
      <c r="D1365" s="896"/>
      <c r="E1365" s="896"/>
      <c r="R1365" s="897"/>
      <c r="S1365" s="897"/>
      <c r="T1365" s="897"/>
      <c r="U1365" s="897"/>
      <c r="V1365" s="897"/>
      <c r="W1365" s="897"/>
      <c r="X1365" s="897"/>
      <c r="Y1365" s="897"/>
    </row>
    <row r="1366" spans="1:25">
      <c r="A1366" s="896"/>
      <c r="B1366" s="896"/>
      <c r="C1366" s="896"/>
      <c r="D1366" s="896"/>
      <c r="E1366" s="896"/>
      <c r="R1366" s="897"/>
      <c r="S1366" s="897"/>
      <c r="T1366" s="897"/>
      <c r="U1366" s="897"/>
      <c r="V1366" s="897"/>
      <c r="W1366" s="897"/>
      <c r="X1366" s="897"/>
      <c r="Y1366" s="897"/>
    </row>
    <row r="1367" spans="1:25">
      <c r="A1367" s="896"/>
      <c r="B1367" s="896"/>
      <c r="C1367" s="896"/>
      <c r="D1367" s="896"/>
      <c r="E1367" s="896"/>
      <c r="R1367" s="897"/>
      <c r="S1367" s="897"/>
      <c r="T1367" s="897"/>
      <c r="U1367" s="897"/>
      <c r="V1367" s="897"/>
      <c r="W1367" s="897"/>
      <c r="X1367" s="897"/>
      <c r="Y1367" s="897"/>
    </row>
    <row r="1368" spans="1:25">
      <c r="A1368" s="896"/>
      <c r="B1368" s="896"/>
      <c r="C1368" s="896"/>
      <c r="D1368" s="896"/>
      <c r="E1368" s="896"/>
      <c r="R1368" s="897"/>
      <c r="S1368" s="897"/>
      <c r="T1368" s="897"/>
      <c r="U1368" s="897"/>
      <c r="V1368" s="897"/>
      <c r="W1368" s="897"/>
      <c r="X1368" s="897"/>
      <c r="Y1368" s="897"/>
    </row>
    <row r="1369" spans="1:25">
      <c r="A1369" s="896"/>
      <c r="B1369" s="896"/>
      <c r="C1369" s="896"/>
      <c r="D1369" s="896"/>
      <c r="E1369" s="896"/>
      <c r="R1369" s="897"/>
      <c r="S1369" s="897"/>
      <c r="T1369" s="897"/>
      <c r="U1369" s="897"/>
      <c r="V1369" s="897"/>
      <c r="W1369" s="897"/>
      <c r="X1369" s="897"/>
      <c r="Y1369" s="897"/>
    </row>
    <row r="1370" spans="1:25">
      <c r="A1370" s="896"/>
      <c r="B1370" s="896"/>
      <c r="C1370" s="896"/>
      <c r="D1370" s="896"/>
      <c r="E1370" s="896"/>
      <c r="R1370" s="897"/>
      <c r="S1370" s="897"/>
      <c r="T1370" s="897"/>
      <c r="U1370" s="897"/>
      <c r="V1370" s="897"/>
      <c r="W1370" s="897"/>
      <c r="X1370" s="897"/>
      <c r="Y1370" s="897"/>
    </row>
    <row r="1371" spans="1:25">
      <c r="A1371" s="896"/>
      <c r="B1371" s="896"/>
      <c r="C1371" s="896"/>
      <c r="D1371" s="896"/>
      <c r="E1371" s="896"/>
      <c r="R1371" s="897"/>
      <c r="S1371" s="897"/>
      <c r="T1371" s="897"/>
      <c r="U1371" s="897"/>
      <c r="V1371" s="897"/>
      <c r="W1371" s="897"/>
      <c r="X1371" s="897"/>
      <c r="Y1371" s="897"/>
    </row>
    <row r="1372" spans="1:25">
      <c r="A1372" s="896"/>
      <c r="B1372" s="896"/>
      <c r="C1372" s="896"/>
      <c r="D1372" s="896"/>
      <c r="E1372" s="896"/>
      <c r="R1372" s="897"/>
      <c r="S1372" s="897"/>
      <c r="T1372" s="897"/>
      <c r="U1372" s="897"/>
      <c r="V1372" s="897"/>
      <c r="W1372" s="897"/>
      <c r="X1372" s="897"/>
      <c r="Y1372" s="897"/>
    </row>
    <row r="1373" spans="1:25">
      <c r="A1373" s="896"/>
      <c r="B1373" s="896"/>
      <c r="C1373" s="896"/>
      <c r="D1373" s="896"/>
      <c r="E1373" s="896"/>
      <c r="R1373" s="897"/>
      <c r="S1373" s="897"/>
      <c r="T1373" s="897"/>
      <c r="U1373" s="897"/>
      <c r="V1373" s="897"/>
      <c r="W1373" s="897"/>
      <c r="X1373" s="897"/>
      <c r="Y1373" s="897"/>
    </row>
    <row r="1374" spans="1:25">
      <c r="A1374" s="896"/>
      <c r="B1374" s="896"/>
      <c r="C1374" s="896"/>
      <c r="D1374" s="896"/>
      <c r="E1374" s="896"/>
      <c r="R1374" s="897"/>
      <c r="S1374" s="897"/>
      <c r="T1374" s="897"/>
      <c r="U1374" s="897"/>
      <c r="V1374" s="897"/>
      <c r="W1374" s="897"/>
      <c r="X1374" s="897"/>
      <c r="Y1374" s="897"/>
    </row>
    <row r="1375" spans="1:25">
      <c r="A1375" s="896"/>
      <c r="B1375" s="896"/>
      <c r="C1375" s="896"/>
      <c r="D1375" s="896"/>
      <c r="E1375" s="896"/>
      <c r="R1375" s="897"/>
      <c r="S1375" s="897"/>
      <c r="T1375" s="897"/>
      <c r="U1375" s="897"/>
      <c r="V1375" s="897"/>
      <c r="W1375" s="897"/>
      <c r="X1375" s="897"/>
      <c r="Y1375" s="897"/>
    </row>
    <row r="1376" spans="1:25">
      <c r="A1376" s="896"/>
      <c r="B1376" s="896"/>
      <c r="C1376" s="896"/>
      <c r="D1376" s="896"/>
      <c r="E1376" s="896"/>
      <c r="R1376" s="897"/>
      <c r="S1376" s="897"/>
      <c r="T1376" s="897"/>
      <c r="U1376" s="897"/>
      <c r="V1376" s="897"/>
      <c r="W1376" s="897"/>
      <c r="X1376" s="897"/>
      <c r="Y1376" s="897"/>
    </row>
    <row r="1377" spans="1:25">
      <c r="A1377" s="896"/>
      <c r="B1377" s="896"/>
      <c r="C1377" s="896"/>
      <c r="D1377" s="896"/>
      <c r="E1377" s="896"/>
      <c r="R1377" s="897"/>
      <c r="S1377" s="897"/>
      <c r="T1377" s="897"/>
      <c r="U1377" s="897"/>
      <c r="V1377" s="897"/>
      <c r="W1377" s="897"/>
      <c r="X1377" s="897"/>
      <c r="Y1377" s="897"/>
    </row>
    <row r="1378" spans="1:25">
      <c r="A1378" s="896"/>
      <c r="B1378" s="896"/>
      <c r="C1378" s="896"/>
      <c r="D1378" s="896"/>
      <c r="E1378" s="896"/>
      <c r="R1378" s="897"/>
      <c r="S1378" s="897"/>
      <c r="T1378" s="897"/>
      <c r="U1378" s="897"/>
      <c r="V1378" s="897"/>
      <c r="W1378" s="897"/>
      <c r="X1378" s="897"/>
      <c r="Y1378" s="897"/>
    </row>
    <row r="1379" spans="1:25">
      <c r="A1379" s="896"/>
      <c r="B1379" s="896"/>
      <c r="C1379" s="896"/>
      <c r="D1379" s="896"/>
      <c r="E1379" s="896"/>
      <c r="R1379" s="897"/>
      <c r="S1379" s="897"/>
      <c r="T1379" s="897"/>
      <c r="U1379" s="897"/>
      <c r="V1379" s="897"/>
      <c r="W1379" s="897"/>
      <c r="X1379" s="897"/>
      <c r="Y1379" s="897"/>
    </row>
    <row r="1380" spans="1:25">
      <c r="A1380" s="896"/>
      <c r="B1380" s="896"/>
      <c r="C1380" s="896"/>
      <c r="D1380" s="896"/>
      <c r="E1380" s="896"/>
      <c r="R1380" s="897"/>
      <c r="S1380" s="897"/>
      <c r="T1380" s="897"/>
      <c r="U1380" s="897"/>
      <c r="V1380" s="897"/>
      <c r="W1380" s="897"/>
      <c r="X1380" s="897"/>
      <c r="Y1380" s="897"/>
    </row>
    <row r="1381" spans="1:25">
      <c r="A1381" s="896"/>
      <c r="B1381" s="896"/>
      <c r="C1381" s="896"/>
      <c r="D1381" s="896"/>
      <c r="E1381" s="896"/>
      <c r="R1381" s="897"/>
      <c r="S1381" s="897"/>
      <c r="T1381" s="897"/>
      <c r="U1381" s="897"/>
      <c r="V1381" s="897"/>
      <c r="W1381" s="897"/>
      <c r="X1381" s="897"/>
      <c r="Y1381" s="897"/>
    </row>
    <row r="1382" spans="1:25">
      <c r="A1382" s="896"/>
      <c r="B1382" s="896"/>
      <c r="C1382" s="896"/>
      <c r="D1382" s="896"/>
      <c r="E1382" s="896"/>
      <c r="R1382" s="897"/>
      <c r="S1382" s="897"/>
      <c r="T1382" s="897"/>
      <c r="U1382" s="897"/>
      <c r="V1382" s="897"/>
      <c r="W1382" s="897"/>
      <c r="X1382" s="897"/>
      <c r="Y1382" s="897"/>
    </row>
    <row r="1383" spans="1:25">
      <c r="A1383" s="896"/>
      <c r="B1383" s="896"/>
      <c r="C1383" s="896"/>
      <c r="D1383" s="896"/>
      <c r="E1383" s="896"/>
      <c r="R1383" s="897"/>
      <c r="S1383" s="897"/>
      <c r="T1383" s="897"/>
      <c r="U1383" s="897"/>
      <c r="V1383" s="897"/>
      <c r="W1383" s="897"/>
      <c r="X1383" s="897"/>
      <c r="Y1383" s="897"/>
    </row>
    <row r="1384" spans="1:25">
      <c r="A1384" s="896"/>
      <c r="B1384" s="896"/>
      <c r="C1384" s="896"/>
      <c r="D1384" s="896"/>
      <c r="E1384" s="896"/>
      <c r="R1384" s="897"/>
      <c r="S1384" s="897"/>
      <c r="T1384" s="897"/>
      <c r="U1384" s="897"/>
      <c r="V1384" s="897"/>
      <c r="W1384" s="897"/>
      <c r="X1384" s="897"/>
      <c r="Y1384" s="897"/>
    </row>
    <row r="1385" spans="1:25">
      <c r="A1385" s="896"/>
      <c r="B1385" s="896"/>
      <c r="C1385" s="896"/>
      <c r="D1385" s="896"/>
      <c r="E1385" s="896"/>
      <c r="R1385" s="897"/>
      <c r="S1385" s="897"/>
      <c r="T1385" s="897"/>
      <c r="U1385" s="897"/>
      <c r="V1385" s="897"/>
      <c r="W1385" s="897"/>
      <c r="X1385" s="897"/>
      <c r="Y1385" s="897"/>
    </row>
    <row r="1386" spans="1:25">
      <c r="A1386" s="896"/>
      <c r="B1386" s="896"/>
      <c r="C1386" s="896"/>
      <c r="D1386" s="896"/>
      <c r="E1386" s="896"/>
      <c r="R1386" s="897"/>
      <c r="S1386" s="897"/>
      <c r="T1386" s="897"/>
      <c r="U1386" s="897"/>
      <c r="V1386" s="897"/>
      <c r="W1386" s="897"/>
      <c r="X1386" s="897"/>
      <c r="Y1386" s="897"/>
    </row>
    <row r="1387" spans="1:25">
      <c r="A1387" s="896"/>
      <c r="B1387" s="896"/>
      <c r="C1387" s="896"/>
      <c r="D1387" s="896"/>
      <c r="E1387" s="896"/>
      <c r="R1387" s="897"/>
      <c r="S1387" s="897"/>
      <c r="T1387" s="897"/>
      <c r="U1387" s="897"/>
      <c r="V1387" s="897"/>
      <c r="W1387" s="897"/>
      <c r="X1387" s="897"/>
      <c r="Y1387" s="897"/>
    </row>
    <row r="1388" spans="1:25">
      <c r="A1388" s="896"/>
      <c r="B1388" s="896"/>
      <c r="C1388" s="896"/>
      <c r="D1388" s="896"/>
      <c r="E1388" s="896"/>
      <c r="R1388" s="897"/>
      <c r="S1388" s="897"/>
      <c r="T1388" s="897"/>
      <c r="U1388" s="897"/>
      <c r="V1388" s="897"/>
      <c r="W1388" s="897"/>
      <c r="X1388" s="897"/>
      <c r="Y1388" s="897"/>
    </row>
    <row r="1389" spans="1:25">
      <c r="A1389" s="896"/>
      <c r="B1389" s="896"/>
      <c r="C1389" s="896"/>
      <c r="D1389" s="896"/>
      <c r="E1389" s="896"/>
      <c r="R1389" s="897"/>
      <c r="S1389" s="897"/>
      <c r="T1389" s="897"/>
      <c r="U1389" s="897"/>
      <c r="V1389" s="897"/>
      <c r="W1389" s="897"/>
      <c r="X1389" s="897"/>
      <c r="Y1389" s="897"/>
    </row>
    <row r="1390" spans="1:25">
      <c r="A1390" s="896"/>
      <c r="B1390" s="896"/>
      <c r="C1390" s="896"/>
      <c r="D1390" s="896"/>
      <c r="E1390" s="896"/>
      <c r="R1390" s="897"/>
      <c r="S1390" s="897"/>
      <c r="T1390" s="897"/>
      <c r="U1390" s="897"/>
      <c r="V1390" s="897"/>
      <c r="W1390" s="897"/>
      <c r="X1390" s="897"/>
      <c r="Y1390" s="897"/>
    </row>
    <row r="1391" spans="1:25">
      <c r="A1391" s="896"/>
      <c r="B1391" s="896"/>
      <c r="C1391" s="896"/>
      <c r="D1391" s="896"/>
      <c r="E1391" s="896"/>
      <c r="R1391" s="897"/>
      <c r="S1391" s="897"/>
      <c r="T1391" s="897"/>
      <c r="U1391" s="897"/>
      <c r="V1391" s="897"/>
      <c r="W1391" s="897"/>
      <c r="X1391" s="897"/>
      <c r="Y1391" s="897"/>
    </row>
    <row r="1392" spans="1:25">
      <c r="A1392" s="896"/>
      <c r="B1392" s="896"/>
      <c r="C1392" s="896"/>
      <c r="D1392" s="896"/>
      <c r="E1392" s="896"/>
      <c r="R1392" s="897"/>
      <c r="S1392" s="897"/>
      <c r="T1392" s="897"/>
      <c r="U1392" s="897"/>
      <c r="V1392" s="897"/>
      <c r="W1392" s="897"/>
      <c r="X1392" s="897"/>
      <c r="Y1392" s="897"/>
    </row>
    <row r="1393" spans="1:25">
      <c r="A1393" s="896"/>
      <c r="B1393" s="896"/>
      <c r="C1393" s="896"/>
      <c r="D1393" s="896"/>
      <c r="E1393" s="896"/>
      <c r="R1393" s="897"/>
      <c r="S1393" s="897"/>
      <c r="T1393" s="897"/>
      <c r="U1393" s="897"/>
      <c r="V1393" s="897"/>
      <c r="W1393" s="897"/>
      <c r="X1393" s="897"/>
      <c r="Y1393" s="897"/>
    </row>
    <row r="1394" spans="1:25">
      <c r="A1394" s="896"/>
      <c r="B1394" s="896"/>
      <c r="C1394" s="896"/>
      <c r="D1394" s="896"/>
      <c r="E1394" s="896"/>
      <c r="R1394" s="897"/>
      <c r="S1394" s="897"/>
      <c r="T1394" s="897"/>
      <c r="U1394" s="897"/>
      <c r="V1394" s="897"/>
      <c r="W1394" s="897"/>
      <c r="X1394" s="897"/>
      <c r="Y1394" s="897"/>
    </row>
    <row r="1395" spans="1:25">
      <c r="A1395" s="896"/>
      <c r="B1395" s="896"/>
      <c r="C1395" s="896"/>
      <c r="D1395" s="896"/>
      <c r="E1395" s="896"/>
      <c r="R1395" s="897"/>
      <c r="S1395" s="897"/>
      <c r="T1395" s="897"/>
      <c r="U1395" s="897"/>
      <c r="V1395" s="897"/>
      <c r="W1395" s="897"/>
      <c r="X1395" s="897"/>
      <c r="Y1395" s="897"/>
    </row>
    <row r="1396" spans="1:25">
      <c r="A1396" s="896"/>
      <c r="B1396" s="896"/>
      <c r="C1396" s="896"/>
      <c r="D1396" s="896"/>
      <c r="E1396" s="896"/>
      <c r="R1396" s="897"/>
      <c r="S1396" s="897"/>
      <c r="T1396" s="897"/>
      <c r="U1396" s="897"/>
      <c r="V1396" s="897"/>
      <c r="W1396" s="897"/>
      <c r="X1396" s="897"/>
      <c r="Y1396" s="897"/>
    </row>
    <row r="1397" spans="1:25">
      <c r="A1397" s="896"/>
      <c r="B1397" s="896"/>
      <c r="C1397" s="896"/>
      <c r="D1397" s="896"/>
      <c r="E1397" s="896"/>
      <c r="R1397" s="897"/>
      <c r="S1397" s="897"/>
      <c r="T1397" s="897"/>
      <c r="U1397" s="897"/>
      <c r="V1397" s="897"/>
      <c r="W1397" s="897"/>
      <c r="X1397" s="897"/>
      <c r="Y1397" s="897"/>
    </row>
    <row r="1398" spans="1:25">
      <c r="A1398" s="896"/>
      <c r="B1398" s="896"/>
      <c r="C1398" s="896"/>
      <c r="D1398" s="896"/>
      <c r="E1398" s="896"/>
      <c r="R1398" s="897"/>
      <c r="S1398" s="897"/>
      <c r="T1398" s="897"/>
      <c r="U1398" s="897"/>
      <c r="V1398" s="897"/>
      <c r="W1398" s="897"/>
      <c r="X1398" s="897"/>
      <c r="Y1398" s="897"/>
    </row>
    <row r="1399" spans="1:25">
      <c r="A1399" s="896"/>
      <c r="B1399" s="896"/>
      <c r="C1399" s="896"/>
      <c r="D1399" s="896"/>
      <c r="E1399" s="896"/>
      <c r="R1399" s="897"/>
      <c r="S1399" s="897"/>
      <c r="T1399" s="897"/>
      <c r="U1399" s="897"/>
      <c r="V1399" s="897"/>
      <c r="W1399" s="897"/>
      <c r="X1399" s="897"/>
      <c r="Y1399" s="897"/>
    </row>
    <row r="1400" spans="1:25">
      <c r="A1400" s="896"/>
      <c r="B1400" s="896"/>
      <c r="C1400" s="896"/>
      <c r="D1400" s="896"/>
      <c r="E1400" s="896"/>
      <c r="R1400" s="897"/>
      <c r="S1400" s="897"/>
      <c r="T1400" s="897"/>
      <c r="U1400" s="897"/>
      <c r="V1400" s="897"/>
      <c r="W1400" s="897"/>
      <c r="X1400" s="897"/>
      <c r="Y1400" s="897"/>
    </row>
    <row r="1401" spans="1:25">
      <c r="A1401" s="896"/>
      <c r="B1401" s="896"/>
      <c r="C1401" s="896"/>
      <c r="D1401" s="896"/>
      <c r="E1401" s="896"/>
      <c r="R1401" s="897"/>
      <c r="S1401" s="897"/>
      <c r="T1401" s="897"/>
      <c r="U1401" s="897"/>
      <c r="V1401" s="897"/>
      <c r="W1401" s="897"/>
      <c r="X1401" s="897"/>
      <c r="Y1401" s="897"/>
    </row>
    <row r="1402" spans="1:25">
      <c r="A1402" s="896"/>
      <c r="B1402" s="896"/>
      <c r="C1402" s="896"/>
      <c r="D1402" s="896"/>
      <c r="E1402" s="896"/>
      <c r="R1402" s="897"/>
      <c r="S1402" s="897"/>
      <c r="T1402" s="897"/>
      <c r="U1402" s="897"/>
      <c r="V1402" s="897"/>
      <c r="W1402" s="897"/>
      <c r="X1402" s="897"/>
      <c r="Y1402" s="897"/>
    </row>
    <row r="1403" spans="1:25">
      <c r="A1403" s="896"/>
      <c r="B1403" s="896"/>
      <c r="C1403" s="896"/>
      <c r="D1403" s="896"/>
      <c r="E1403" s="896"/>
      <c r="R1403" s="897"/>
      <c r="S1403" s="897"/>
      <c r="T1403" s="897"/>
      <c r="U1403" s="897"/>
      <c r="V1403" s="897"/>
      <c r="W1403" s="897"/>
      <c r="X1403" s="897"/>
      <c r="Y1403" s="897"/>
    </row>
    <row r="1404" spans="1:25">
      <c r="A1404" s="896"/>
      <c r="B1404" s="896"/>
      <c r="C1404" s="896"/>
      <c r="D1404" s="896"/>
      <c r="E1404" s="896"/>
      <c r="R1404" s="897"/>
      <c r="S1404" s="897"/>
      <c r="T1404" s="897"/>
      <c r="U1404" s="897"/>
      <c r="V1404" s="897"/>
      <c r="W1404" s="897"/>
      <c r="X1404" s="897"/>
      <c r="Y1404" s="897"/>
    </row>
    <row r="1405" spans="1:25">
      <c r="A1405" s="896"/>
      <c r="B1405" s="896"/>
      <c r="C1405" s="896"/>
      <c r="D1405" s="896"/>
      <c r="E1405" s="896"/>
      <c r="R1405" s="897"/>
      <c r="S1405" s="897"/>
      <c r="T1405" s="897"/>
      <c r="U1405" s="897"/>
      <c r="V1405" s="897"/>
      <c r="W1405" s="897"/>
      <c r="X1405" s="897"/>
      <c r="Y1405" s="897"/>
    </row>
    <row r="1406" spans="1:25">
      <c r="A1406" s="896"/>
      <c r="B1406" s="896"/>
      <c r="C1406" s="896"/>
      <c r="D1406" s="896"/>
      <c r="E1406" s="896"/>
      <c r="R1406" s="897"/>
      <c r="S1406" s="897"/>
      <c r="T1406" s="897"/>
      <c r="U1406" s="897"/>
      <c r="V1406" s="897"/>
      <c r="W1406" s="897"/>
      <c r="X1406" s="897"/>
      <c r="Y1406" s="897"/>
    </row>
    <row r="1407" spans="1:25">
      <c r="A1407" s="896"/>
      <c r="B1407" s="896"/>
      <c r="C1407" s="896"/>
      <c r="D1407" s="896"/>
      <c r="E1407" s="896"/>
      <c r="R1407" s="897"/>
      <c r="S1407" s="897"/>
      <c r="T1407" s="897"/>
      <c r="U1407" s="897"/>
      <c r="V1407" s="897"/>
      <c r="W1407" s="897"/>
      <c r="X1407" s="897"/>
      <c r="Y1407" s="897"/>
    </row>
    <row r="1408" spans="1:25">
      <c r="A1408" s="896"/>
      <c r="B1408" s="896"/>
      <c r="C1408" s="896"/>
      <c r="D1408" s="896"/>
      <c r="E1408" s="896"/>
      <c r="R1408" s="897"/>
      <c r="S1408" s="897"/>
      <c r="T1408" s="897"/>
      <c r="U1408" s="897"/>
      <c r="V1408" s="897"/>
      <c r="W1408" s="897"/>
      <c r="X1408" s="897"/>
      <c r="Y1408" s="897"/>
    </row>
    <row r="1409" spans="1:25">
      <c r="A1409" s="896"/>
      <c r="B1409" s="896"/>
      <c r="C1409" s="896"/>
      <c r="D1409" s="896"/>
      <c r="E1409" s="896"/>
      <c r="R1409" s="897"/>
      <c r="S1409" s="897"/>
      <c r="T1409" s="897"/>
      <c r="U1409" s="897"/>
      <c r="V1409" s="897"/>
      <c r="W1409" s="897"/>
      <c r="X1409" s="897"/>
      <c r="Y1409" s="897"/>
    </row>
    <row r="1410" spans="1:25">
      <c r="A1410" s="896"/>
      <c r="B1410" s="896"/>
      <c r="C1410" s="896"/>
      <c r="D1410" s="896"/>
      <c r="E1410" s="896"/>
      <c r="R1410" s="897"/>
      <c r="S1410" s="897"/>
      <c r="T1410" s="897"/>
      <c r="U1410" s="897"/>
      <c r="V1410" s="897"/>
      <c r="W1410" s="897"/>
      <c r="X1410" s="897"/>
      <c r="Y1410" s="897"/>
    </row>
    <row r="1411" spans="1:25">
      <c r="A1411" s="896"/>
      <c r="B1411" s="896"/>
      <c r="C1411" s="896"/>
      <c r="D1411" s="896"/>
      <c r="E1411" s="896"/>
      <c r="R1411" s="897"/>
      <c r="S1411" s="897"/>
      <c r="T1411" s="897"/>
      <c r="U1411" s="897"/>
      <c r="V1411" s="897"/>
      <c r="W1411" s="897"/>
      <c r="X1411" s="897"/>
      <c r="Y1411" s="897"/>
    </row>
    <row r="1412" spans="1:25">
      <c r="A1412" s="896"/>
      <c r="B1412" s="896"/>
      <c r="C1412" s="896"/>
      <c r="D1412" s="896"/>
      <c r="E1412" s="896"/>
      <c r="R1412" s="897"/>
      <c r="S1412" s="897"/>
      <c r="T1412" s="897"/>
      <c r="U1412" s="897"/>
      <c r="V1412" s="897"/>
      <c r="W1412" s="897"/>
      <c r="X1412" s="897"/>
      <c r="Y1412" s="897"/>
    </row>
    <row r="1413" spans="1:25">
      <c r="A1413" s="896"/>
      <c r="B1413" s="896"/>
      <c r="C1413" s="896"/>
      <c r="D1413" s="896"/>
      <c r="E1413" s="896"/>
      <c r="R1413" s="897"/>
      <c r="S1413" s="897"/>
      <c r="T1413" s="897"/>
      <c r="U1413" s="897"/>
      <c r="V1413" s="897"/>
      <c r="W1413" s="897"/>
      <c r="X1413" s="897"/>
      <c r="Y1413" s="897"/>
    </row>
    <row r="1414" spans="1:25">
      <c r="A1414" s="896"/>
      <c r="B1414" s="896"/>
      <c r="C1414" s="896"/>
      <c r="D1414" s="896"/>
      <c r="E1414" s="896"/>
      <c r="R1414" s="897"/>
      <c r="S1414" s="897"/>
      <c r="T1414" s="897"/>
      <c r="U1414" s="897"/>
      <c r="V1414" s="897"/>
      <c r="W1414" s="897"/>
      <c r="X1414" s="897"/>
      <c r="Y1414" s="897"/>
    </row>
    <row r="1415" spans="1:25">
      <c r="A1415" s="896"/>
      <c r="B1415" s="896"/>
      <c r="C1415" s="896"/>
      <c r="D1415" s="896"/>
      <c r="E1415" s="896"/>
      <c r="R1415" s="897"/>
      <c r="S1415" s="897"/>
      <c r="T1415" s="897"/>
      <c r="U1415" s="897"/>
      <c r="V1415" s="897"/>
      <c r="W1415" s="897"/>
      <c r="X1415" s="897"/>
      <c r="Y1415" s="897"/>
    </row>
    <row r="1416" spans="1:25">
      <c r="A1416" s="896"/>
      <c r="B1416" s="896"/>
      <c r="C1416" s="896"/>
      <c r="D1416" s="896"/>
      <c r="E1416" s="896"/>
      <c r="R1416" s="897"/>
      <c r="S1416" s="897"/>
      <c r="T1416" s="897"/>
      <c r="U1416" s="897"/>
      <c r="V1416" s="897"/>
      <c r="W1416" s="897"/>
      <c r="X1416" s="897"/>
      <c r="Y1416" s="897"/>
    </row>
    <row r="1417" spans="1:25">
      <c r="A1417" s="896"/>
      <c r="B1417" s="896"/>
      <c r="C1417" s="896"/>
      <c r="D1417" s="896"/>
      <c r="E1417" s="896"/>
      <c r="R1417" s="897"/>
      <c r="S1417" s="897"/>
      <c r="T1417" s="897"/>
      <c r="U1417" s="897"/>
      <c r="V1417" s="897"/>
      <c r="W1417" s="897"/>
      <c r="X1417" s="897"/>
      <c r="Y1417" s="897"/>
    </row>
    <row r="1418" spans="1:25">
      <c r="A1418" s="896"/>
      <c r="B1418" s="896"/>
      <c r="C1418" s="896"/>
      <c r="D1418" s="896"/>
      <c r="E1418" s="896"/>
      <c r="R1418" s="897"/>
      <c r="S1418" s="897"/>
      <c r="T1418" s="897"/>
      <c r="U1418" s="897"/>
      <c r="V1418" s="897"/>
      <c r="W1418" s="897"/>
      <c r="X1418" s="897"/>
      <c r="Y1418" s="897"/>
    </row>
    <row r="1419" spans="1:25">
      <c r="A1419" s="896"/>
      <c r="B1419" s="896"/>
      <c r="C1419" s="896"/>
      <c r="D1419" s="896"/>
      <c r="E1419" s="896"/>
      <c r="R1419" s="897"/>
      <c r="S1419" s="897"/>
      <c r="T1419" s="897"/>
      <c r="U1419" s="897"/>
      <c r="V1419" s="897"/>
      <c r="W1419" s="897"/>
      <c r="X1419" s="897"/>
      <c r="Y1419" s="897"/>
    </row>
    <row r="1420" spans="1:25">
      <c r="A1420" s="896"/>
      <c r="B1420" s="896"/>
      <c r="C1420" s="896"/>
      <c r="D1420" s="896"/>
      <c r="E1420" s="896"/>
      <c r="R1420" s="897"/>
      <c r="S1420" s="897"/>
      <c r="T1420" s="897"/>
      <c r="U1420" s="897"/>
      <c r="V1420" s="897"/>
      <c r="W1420" s="897"/>
      <c r="X1420" s="897"/>
      <c r="Y1420" s="897"/>
    </row>
    <row r="1421" spans="1:25">
      <c r="A1421" s="896"/>
      <c r="B1421" s="896"/>
      <c r="C1421" s="896"/>
      <c r="D1421" s="896"/>
      <c r="E1421" s="896"/>
      <c r="R1421" s="897"/>
      <c r="S1421" s="897"/>
      <c r="T1421" s="897"/>
      <c r="U1421" s="897"/>
      <c r="V1421" s="897"/>
      <c r="W1421" s="897"/>
      <c r="X1421" s="897"/>
      <c r="Y1421" s="897"/>
    </row>
    <row r="1422" spans="1:25">
      <c r="A1422" s="896"/>
      <c r="B1422" s="896"/>
      <c r="C1422" s="896"/>
      <c r="D1422" s="896"/>
      <c r="E1422" s="896"/>
      <c r="R1422" s="897"/>
      <c r="S1422" s="897"/>
      <c r="T1422" s="897"/>
      <c r="U1422" s="897"/>
      <c r="V1422" s="897"/>
      <c r="W1422" s="897"/>
      <c r="X1422" s="897"/>
      <c r="Y1422" s="897"/>
    </row>
    <row r="1423" spans="1:25">
      <c r="A1423" s="896"/>
      <c r="B1423" s="896"/>
      <c r="C1423" s="896"/>
      <c r="D1423" s="896"/>
      <c r="E1423" s="896"/>
      <c r="R1423" s="897"/>
      <c r="S1423" s="897"/>
      <c r="T1423" s="897"/>
      <c r="U1423" s="897"/>
      <c r="V1423" s="897"/>
      <c r="W1423" s="897"/>
      <c r="X1423" s="897"/>
      <c r="Y1423" s="897"/>
    </row>
    <row r="1424" spans="1:25">
      <c r="A1424" s="896"/>
      <c r="B1424" s="896"/>
      <c r="C1424" s="896"/>
      <c r="D1424" s="896"/>
      <c r="E1424" s="896"/>
      <c r="R1424" s="897"/>
      <c r="S1424" s="897"/>
      <c r="T1424" s="897"/>
      <c r="U1424" s="897"/>
      <c r="V1424" s="897"/>
      <c r="W1424" s="897"/>
      <c r="X1424" s="897"/>
      <c r="Y1424" s="897"/>
    </row>
    <row r="1425" spans="1:25">
      <c r="A1425" s="896"/>
      <c r="B1425" s="896"/>
      <c r="C1425" s="896"/>
      <c r="D1425" s="896"/>
      <c r="E1425" s="896"/>
      <c r="R1425" s="897"/>
      <c r="S1425" s="897"/>
      <c r="T1425" s="897"/>
      <c r="U1425" s="897"/>
      <c r="V1425" s="897"/>
      <c r="W1425" s="897"/>
      <c r="X1425" s="897"/>
      <c r="Y1425" s="897"/>
    </row>
    <row r="1426" spans="1:25">
      <c r="A1426" s="896"/>
      <c r="B1426" s="896"/>
      <c r="C1426" s="896"/>
      <c r="D1426" s="896"/>
      <c r="E1426" s="896"/>
      <c r="R1426" s="897"/>
      <c r="S1426" s="897"/>
      <c r="T1426" s="897"/>
      <c r="U1426" s="897"/>
      <c r="V1426" s="897"/>
      <c r="W1426" s="897"/>
      <c r="X1426" s="897"/>
      <c r="Y1426" s="897"/>
    </row>
    <row r="1427" spans="1:25">
      <c r="A1427" s="896"/>
      <c r="B1427" s="896"/>
      <c r="C1427" s="896"/>
      <c r="D1427" s="896"/>
      <c r="E1427" s="896"/>
      <c r="R1427" s="897"/>
      <c r="S1427" s="897"/>
      <c r="T1427" s="897"/>
      <c r="U1427" s="897"/>
      <c r="V1427" s="897"/>
      <c r="W1427" s="897"/>
      <c r="X1427" s="897"/>
      <c r="Y1427" s="897"/>
    </row>
    <row r="1428" spans="1:25">
      <c r="A1428" s="896"/>
      <c r="B1428" s="896"/>
      <c r="C1428" s="896"/>
      <c r="D1428" s="896"/>
      <c r="E1428" s="896"/>
      <c r="R1428" s="897"/>
      <c r="S1428" s="897"/>
      <c r="T1428" s="897"/>
      <c r="U1428" s="897"/>
      <c r="V1428" s="897"/>
      <c r="W1428" s="897"/>
      <c r="X1428" s="897"/>
      <c r="Y1428" s="897"/>
    </row>
    <row r="1429" spans="1:25">
      <c r="A1429" s="896"/>
      <c r="B1429" s="896"/>
      <c r="C1429" s="896"/>
      <c r="D1429" s="896"/>
      <c r="E1429" s="896"/>
      <c r="R1429" s="897"/>
      <c r="S1429" s="897"/>
      <c r="T1429" s="897"/>
      <c r="U1429" s="897"/>
      <c r="V1429" s="897"/>
      <c r="W1429" s="897"/>
      <c r="X1429" s="897"/>
      <c r="Y1429" s="897"/>
    </row>
    <row r="1430" spans="1:25">
      <c r="A1430" s="896"/>
      <c r="B1430" s="896"/>
      <c r="C1430" s="896"/>
      <c r="D1430" s="896"/>
      <c r="E1430" s="896"/>
      <c r="R1430" s="897"/>
      <c r="S1430" s="897"/>
      <c r="T1430" s="897"/>
      <c r="U1430" s="897"/>
      <c r="V1430" s="897"/>
      <c r="W1430" s="897"/>
      <c r="X1430" s="897"/>
      <c r="Y1430" s="897"/>
    </row>
    <row r="1431" spans="1:25">
      <c r="A1431" s="896"/>
      <c r="B1431" s="896"/>
      <c r="C1431" s="896"/>
      <c r="D1431" s="896"/>
      <c r="E1431" s="896"/>
      <c r="R1431" s="897"/>
      <c r="S1431" s="897"/>
      <c r="T1431" s="897"/>
      <c r="U1431" s="897"/>
      <c r="V1431" s="897"/>
      <c r="W1431" s="897"/>
      <c r="X1431" s="897"/>
      <c r="Y1431" s="897"/>
    </row>
    <row r="1432" spans="1:25">
      <c r="A1432" s="896"/>
      <c r="B1432" s="896"/>
      <c r="C1432" s="896"/>
      <c r="D1432" s="896"/>
      <c r="E1432" s="896"/>
      <c r="R1432" s="897"/>
      <c r="S1432" s="897"/>
      <c r="T1432" s="897"/>
      <c r="U1432" s="897"/>
      <c r="V1432" s="897"/>
      <c r="W1432" s="897"/>
      <c r="X1432" s="897"/>
      <c r="Y1432" s="897"/>
    </row>
    <row r="1433" spans="1:25">
      <c r="A1433" s="896"/>
      <c r="B1433" s="896"/>
      <c r="C1433" s="896"/>
      <c r="D1433" s="896"/>
      <c r="E1433" s="896"/>
      <c r="R1433" s="897"/>
      <c r="S1433" s="897"/>
      <c r="T1433" s="897"/>
      <c r="U1433" s="897"/>
      <c r="V1433" s="897"/>
      <c r="W1433" s="897"/>
      <c r="X1433" s="897"/>
      <c r="Y1433" s="897"/>
    </row>
    <row r="1434" spans="1:25">
      <c r="A1434" s="896"/>
      <c r="B1434" s="896"/>
      <c r="C1434" s="896"/>
      <c r="D1434" s="896"/>
      <c r="E1434" s="896"/>
      <c r="R1434" s="897"/>
      <c r="S1434" s="897"/>
      <c r="T1434" s="897"/>
      <c r="U1434" s="897"/>
      <c r="V1434" s="897"/>
      <c r="W1434" s="897"/>
      <c r="X1434" s="897"/>
      <c r="Y1434" s="897"/>
    </row>
    <row r="1435" spans="1:25">
      <c r="A1435" s="896"/>
      <c r="B1435" s="896"/>
      <c r="C1435" s="896"/>
      <c r="D1435" s="896"/>
      <c r="E1435" s="896"/>
      <c r="R1435" s="897"/>
      <c r="S1435" s="897"/>
      <c r="T1435" s="897"/>
      <c r="U1435" s="897"/>
      <c r="V1435" s="897"/>
      <c r="W1435" s="897"/>
      <c r="X1435" s="897"/>
      <c r="Y1435" s="897"/>
    </row>
    <row r="1436" spans="1:25">
      <c r="A1436" s="896"/>
      <c r="B1436" s="896"/>
      <c r="C1436" s="896"/>
      <c r="D1436" s="896"/>
      <c r="E1436" s="896"/>
      <c r="R1436" s="897"/>
      <c r="S1436" s="897"/>
      <c r="T1436" s="897"/>
      <c r="U1436" s="897"/>
      <c r="V1436" s="897"/>
      <c r="W1436" s="897"/>
      <c r="X1436" s="897"/>
      <c r="Y1436" s="897"/>
    </row>
    <row r="1437" spans="1:25">
      <c r="A1437" s="896"/>
      <c r="B1437" s="896"/>
      <c r="C1437" s="896"/>
      <c r="D1437" s="896"/>
      <c r="E1437" s="896"/>
      <c r="R1437" s="897"/>
      <c r="S1437" s="897"/>
      <c r="T1437" s="897"/>
      <c r="U1437" s="897"/>
      <c r="V1437" s="897"/>
      <c r="W1437" s="897"/>
      <c r="X1437" s="897"/>
      <c r="Y1437" s="897"/>
    </row>
    <row r="1438" spans="1:25">
      <c r="A1438" s="896"/>
      <c r="B1438" s="896"/>
      <c r="C1438" s="896"/>
      <c r="D1438" s="896"/>
      <c r="E1438" s="896"/>
      <c r="R1438" s="897"/>
      <c r="S1438" s="897"/>
      <c r="T1438" s="897"/>
      <c r="U1438" s="897"/>
      <c r="V1438" s="897"/>
      <c r="W1438" s="897"/>
      <c r="X1438" s="897"/>
      <c r="Y1438" s="897"/>
    </row>
    <row r="1439" spans="1:25">
      <c r="A1439" s="896"/>
      <c r="B1439" s="896"/>
      <c r="C1439" s="896"/>
      <c r="D1439" s="896"/>
      <c r="E1439" s="896"/>
      <c r="R1439" s="897"/>
      <c r="S1439" s="897"/>
      <c r="T1439" s="897"/>
      <c r="U1439" s="897"/>
      <c r="V1439" s="897"/>
      <c r="W1439" s="897"/>
      <c r="X1439" s="897"/>
      <c r="Y1439" s="897"/>
    </row>
    <row r="1440" spans="1:25">
      <c r="A1440" s="896"/>
      <c r="B1440" s="896"/>
      <c r="C1440" s="896"/>
      <c r="D1440" s="896"/>
      <c r="E1440" s="896"/>
      <c r="R1440" s="897"/>
      <c r="S1440" s="897"/>
      <c r="T1440" s="897"/>
      <c r="U1440" s="897"/>
      <c r="V1440" s="897"/>
      <c r="W1440" s="897"/>
      <c r="X1440" s="897"/>
      <c r="Y1440" s="897"/>
    </row>
    <row r="1441" spans="1:25">
      <c r="A1441" s="896"/>
      <c r="B1441" s="896"/>
      <c r="C1441" s="896"/>
      <c r="D1441" s="896"/>
      <c r="E1441" s="896"/>
      <c r="R1441" s="897"/>
      <c r="S1441" s="897"/>
      <c r="T1441" s="897"/>
      <c r="U1441" s="897"/>
      <c r="V1441" s="897"/>
      <c r="W1441" s="897"/>
      <c r="X1441" s="897"/>
      <c r="Y1441" s="897"/>
    </row>
    <row r="1442" spans="1:25">
      <c r="A1442" s="896"/>
      <c r="B1442" s="896"/>
      <c r="C1442" s="896"/>
      <c r="D1442" s="896"/>
      <c r="E1442" s="896"/>
      <c r="R1442" s="897"/>
      <c r="S1442" s="897"/>
      <c r="T1442" s="897"/>
      <c r="U1442" s="897"/>
      <c r="V1442" s="897"/>
      <c r="W1442" s="897"/>
      <c r="X1442" s="897"/>
      <c r="Y1442" s="897"/>
    </row>
    <row r="1443" spans="1:25">
      <c r="A1443" s="896"/>
      <c r="B1443" s="896"/>
      <c r="C1443" s="896"/>
      <c r="D1443" s="896"/>
      <c r="E1443" s="896"/>
      <c r="R1443" s="897"/>
      <c r="S1443" s="897"/>
      <c r="T1443" s="897"/>
      <c r="U1443" s="897"/>
      <c r="V1443" s="897"/>
      <c r="W1443" s="897"/>
      <c r="X1443" s="897"/>
      <c r="Y1443" s="897"/>
    </row>
    <row r="1444" spans="1:25">
      <c r="A1444" s="896"/>
      <c r="B1444" s="896"/>
      <c r="C1444" s="896"/>
      <c r="D1444" s="896"/>
      <c r="E1444" s="896"/>
      <c r="R1444" s="897"/>
      <c r="S1444" s="897"/>
      <c r="T1444" s="897"/>
      <c r="U1444" s="897"/>
      <c r="V1444" s="897"/>
      <c r="W1444" s="897"/>
      <c r="X1444" s="897"/>
      <c r="Y1444" s="897"/>
    </row>
    <row r="1445" spans="1:25">
      <c r="A1445" s="896"/>
      <c r="B1445" s="896"/>
      <c r="C1445" s="896"/>
      <c r="D1445" s="896"/>
      <c r="E1445" s="896"/>
      <c r="R1445" s="897"/>
      <c r="S1445" s="897"/>
      <c r="T1445" s="897"/>
      <c r="U1445" s="897"/>
      <c r="V1445" s="897"/>
      <c r="W1445" s="897"/>
      <c r="X1445" s="897"/>
      <c r="Y1445" s="897"/>
    </row>
    <row r="1446" spans="1:25">
      <c r="A1446" s="896"/>
      <c r="B1446" s="896"/>
      <c r="C1446" s="896"/>
      <c r="D1446" s="896"/>
      <c r="E1446" s="896"/>
      <c r="R1446" s="897"/>
      <c r="S1446" s="897"/>
      <c r="T1446" s="897"/>
      <c r="U1446" s="897"/>
      <c r="V1446" s="897"/>
      <c r="W1446" s="897"/>
      <c r="X1446" s="897"/>
      <c r="Y1446" s="897"/>
    </row>
    <row r="1447" spans="1:25">
      <c r="A1447" s="896"/>
      <c r="B1447" s="896"/>
      <c r="C1447" s="896"/>
      <c r="D1447" s="896"/>
      <c r="E1447" s="896"/>
      <c r="R1447" s="897"/>
      <c r="S1447" s="897"/>
      <c r="T1447" s="897"/>
      <c r="U1447" s="897"/>
      <c r="V1447" s="897"/>
      <c r="W1447" s="897"/>
      <c r="X1447" s="897"/>
      <c r="Y1447" s="897"/>
    </row>
    <row r="1448" spans="1:25">
      <c r="A1448" s="896"/>
      <c r="B1448" s="896"/>
      <c r="C1448" s="896"/>
      <c r="D1448" s="896"/>
      <c r="E1448" s="896"/>
      <c r="R1448" s="897"/>
      <c r="S1448" s="897"/>
      <c r="T1448" s="897"/>
      <c r="U1448" s="897"/>
      <c r="V1448" s="897"/>
      <c r="W1448" s="897"/>
      <c r="X1448" s="897"/>
      <c r="Y1448" s="897"/>
    </row>
    <row r="1449" spans="1:25">
      <c r="A1449" s="896"/>
      <c r="B1449" s="896"/>
      <c r="C1449" s="896"/>
      <c r="D1449" s="896"/>
      <c r="E1449" s="896"/>
      <c r="R1449" s="897"/>
      <c r="S1449" s="897"/>
      <c r="T1449" s="897"/>
      <c r="U1449" s="897"/>
      <c r="V1449" s="897"/>
      <c r="W1449" s="897"/>
      <c r="X1449" s="897"/>
      <c r="Y1449" s="897"/>
    </row>
    <row r="1450" spans="1:25">
      <c r="A1450" s="896"/>
      <c r="B1450" s="896"/>
      <c r="C1450" s="896"/>
      <c r="D1450" s="896"/>
      <c r="E1450" s="896"/>
      <c r="R1450" s="897"/>
      <c r="S1450" s="897"/>
      <c r="T1450" s="897"/>
      <c r="U1450" s="897"/>
      <c r="V1450" s="897"/>
      <c r="W1450" s="897"/>
      <c r="X1450" s="897"/>
      <c r="Y1450" s="897"/>
    </row>
    <row r="1451" spans="1:25">
      <c r="A1451" s="896"/>
      <c r="B1451" s="896"/>
      <c r="C1451" s="896"/>
      <c r="D1451" s="896"/>
      <c r="E1451" s="896"/>
      <c r="R1451" s="897"/>
      <c r="S1451" s="897"/>
      <c r="T1451" s="897"/>
      <c r="U1451" s="897"/>
      <c r="V1451" s="897"/>
      <c r="W1451" s="897"/>
      <c r="X1451" s="897"/>
      <c r="Y1451" s="897"/>
    </row>
    <row r="1452" spans="1:25">
      <c r="A1452" s="896"/>
      <c r="B1452" s="896"/>
      <c r="C1452" s="896"/>
      <c r="D1452" s="896"/>
      <c r="E1452" s="896"/>
      <c r="R1452" s="897"/>
      <c r="S1452" s="897"/>
      <c r="T1452" s="897"/>
      <c r="U1452" s="897"/>
      <c r="V1452" s="897"/>
      <c r="W1452" s="897"/>
      <c r="X1452" s="897"/>
      <c r="Y1452" s="897"/>
    </row>
    <row r="1453" spans="1:25">
      <c r="A1453" s="896"/>
      <c r="B1453" s="896"/>
      <c r="C1453" s="896"/>
      <c r="D1453" s="896"/>
      <c r="E1453" s="896"/>
      <c r="R1453" s="897"/>
      <c r="S1453" s="897"/>
      <c r="T1453" s="897"/>
      <c r="U1453" s="897"/>
      <c r="V1453" s="897"/>
      <c r="W1453" s="897"/>
      <c r="X1453" s="897"/>
      <c r="Y1453" s="897"/>
    </row>
    <row r="1454" spans="1:25">
      <c r="A1454" s="896"/>
      <c r="B1454" s="896"/>
      <c r="C1454" s="896"/>
      <c r="D1454" s="896"/>
      <c r="E1454" s="896"/>
      <c r="R1454" s="897"/>
      <c r="S1454" s="897"/>
      <c r="T1454" s="897"/>
      <c r="U1454" s="897"/>
      <c r="V1454" s="897"/>
      <c r="W1454" s="897"/>
      <c r="X1454" s="897"/>
      <c r="Y1454" s="897"/>
    </row>
    <row r="1455" spans="1:25">
      <c r="A1455" s="896"/>
      <c r="B1455" s="896"/>
      <c r="C1455" s="896"/>
      <c r="D1455" s="896"/>
      <c r="E1455" s="896"/>
      <c r="R1455" s="897"/>
      <c r="S1455" s="897"/>
      <c r="T1455" s="897"/>
      <c r="U1455" s="897"/>
      <c r="V1455" s="897"/>
      <c r="W1455" s="897"/>
      <c r="X1455" s="897"/>
      <c r="Y1455" s="897"/>
    </row>
    <row r="1456" spans="1:25">
      <c r="A1456" s="896"/>
      <c r="B1456" s="896"/>
      <c r="C1456" s="896"/>
      <c r="D1456" s="896"/>
      <c r="E1456" s="896"/>
      <c r="R1456" s="897"/>
      <c r="S1456" s="897"/>
      <c r="T1456" s="897"/>
      <c r="U1456" s="897"/>
      <c r="V1456" s="897"/>
      <c r="W1456" s="897"/>
      <c r="X1456" s="897"/>
      <c r="Y1456" s="897"/>
    </row>
    <row r="1457" spans="1:25">
      <c r="A1457" s="896"/>
      <c r="B1457" s="896"/>
      <c r="C1457" s="896"/>
      <c r="D1457" s="896"/>
      <c r="E1457" s="896"/>
      <c r="R1457" s="897"/>
      <c r="S1457" s="897"/>
      <c r="T1457" s="897"/>
      <c r="U1457" s="897"/>
      <c r="V1457" s="897"/>
      <c r="W1457" s="897"/>
      <c r="X1457" s="897"/>
      <c r="Y1457" s="897"/>
    </row>
    <row r="1458" spans="1:25">
      <c r="A1458" s="896"/>
      <c r="B1458" s="896"/>
      <c r="C1458" s="896"/>
      <c r="D1458" s="896"/>
      <c r="E1458" s="896"/>
      <c r="R1458" s="897"/>
      <c r="S1458" s="897"/>
      <c r="T1458" s="897"/>
      <c r="U1458" s="897"/>
      <c r="V1458" s="897"/>
      <c r="W1458" s="897"/>
      <c r="X1458" s="897"/>
      <c r="Y1458" s="897"/>
    </row>
    <row r="1459" spans="1:25">
      <c r="A1459" s="896"/>
      <c r="B1459" s="896"/>
      <c r="C1459" s="896"/>
      <c r="D1459" s="896"/>
      <c r="E1459" s="896"/>
      <c r="R1459" s="897"/>
      <c r="S1459" s="897"/>
      <c r="T1459" s="897"/>
      <c r="U1459" s="897"/>
      <c r="V1459" s="897"/>
      <c r="W1459" s="897"/>
      <c r="X1459" s="897"/>
      <c r="Y1459" s="897"/>
    </row>
    <row r="1460" spans="1:25">
      <c r="A1460" s="896"/>
      <c r="B1460" s="896"/>
      <c r="C1460" s="896"/>
      <c r="D1460" s="896"/>
      <c r="E1460" s="896"/>
      <c r="R1460" s="897"/>
      <c r="S1460" s="897"/>
      <c r="T1460" s="897"/>
      <c r="U1460" s="897"/>
      <c r="V1460" s="897"/>
      <c r="W1460" s="897"/>
      <c r="X1460" s="897"/>
      <c r="Y1460" s="897"/>
    </row>
    <row r="1461" spans="1:25">
      <c r="A1461" s="896"/>
      <c r="B1461" s="896"/>
      <c r="C1461" s="896"/>
      <c r="D1461" s="896"/>
      <c r="E1461" s="896"/>
      <c r="R1461" s="897"/>
      <c r="S1461" s="897"/>
      <c r="T1461" s="897"/>
      <c r="U1461" s="897"/>
      <c r="V1461" s="897"/>
      <c r="W1461" s="897"/>
      <c r="X1461" s="897"/>
      <c r="Y1461" s="897"/>
    </row>
    <row r="1462" spans="1:25">
      <c r="A1462" s="896"/>
      <c r="B1462" s="896"/>
      <c r="C1462" s="896"/>
      <c r="D1462" s="896"/>
      <c r="E1462" s="896"/>
      <c r="R1462" s="897"/>
      <c r="S1462" s="897"/>
      <c r="T1462" s="897"/>
      <c r="U1462" s="897"/>
      <c r="V1462" s="897"/>
      <c r="W1462" s="897"/>
      <c r="X1462" s="897"/>
      <c r="Y1462" s="897"/>
    </row>
    <row r="1463" spans="1:25">
      <c r="A1463" s="896"/>
      <c r="B1463" s="896"/>
      <c r="C1463" s="896"/>
      <c r="D1463" s="896"/>
      <c r="E1463" s="896"/>
      <c r="R1463" s="897"/>
      <c r="S1463" s="897"/>
      <c r="T1463" s="897"/>
      <c r="U1463" s="897"/>
      <c r="V1463" s="897"/>
      <c r="W1463" s="897"/>
      <c r="X1463" s="897"/>
      <c r="Y1463" s="897"/>
    </row>
    <row r="1464" spans="1:25">
      <c r="A1464" s="896"/>
      <c r="B1464" s="896"/>
      <c r="C1464" s="896"/>
      <c r="D1464" s="896"/>
      <c r="E1464" s="896"/>
      <c r="R1464" s="897"/>
      <c r="S1464" s="897"/>
      <c r="T1464" s="897"/>
      <c r="U1464" s="897"/>
      <c r="V1464" s="897"/>
      <c r="W1464" s="897"/>
      <c r="X1464" s="897"/>
      <c r="Y1464" s="897"/>
    </row>
    <row r="1465" spans="1:25">
      <c r="A1465" s="896"/>
      <c r="B1465" s="896"/>
      <c r="C1465" s="896"/>
      <c r="D1465" s="896"/>
      <c r="E1465" s="896"/>
      <c r="R1465" s="897"/>
      <c r="S1465" s="897"/>
      <c r="T1465" s="897"/>
      <c r="U1465" s="897"/>
      <c r="V1465" s="897"/>
      <c r="W1465" s="897"/>
      <c r="X1465" s="897"/>
      <c r="Y1465" s="897"/>
    </row>
    <row r="1466" spans="1:25">
      <c r="A1466" s="896"/>
      <c r="B1466" s="896"/>
      <c r="C1466" s="896"/>
      <c r="D1466" s="896"/>
      <c r="E1466" s="896"/>
      <c r="R1466" s="897"/>
      <c r="S1466" s="897"/>
      <c r="T1466" s="897"/>
      <c r="U1466" s="897"/>
      <c r="V1466" s="897"/>
      <c r="W1466" s="897"/>
      <c r="X1466" s="897"/>
      <c r="Y1466" s="897"/>
    </row>
    <row r="1467" spans="1:25">
      <c r="A1467" s="896"/>
      <c r="B1467" s="896"/>
      <c r="C1467" s="896"/>
      <c r="D1467" s="896"/>
      <c r="E1467" s="896"/>
      <c r="R1467" s="897"/>
      <c r="S1467" s="897"/>
      <c r="T1467" s="897"/>
      <c r="U1467" s="897"/>
      <c r="V1467" s="897"/>
      <c r="W1467" s="897"/>
      <c r="X1467" s="897"/>
      <c r="Y1467" s="897"/>
    </row>
    <row r="1468" spans="1:25">
      <c r="A1468" s="896"/>
      <c r="B1468" s="896"/>
      <c r="C1468" s="896"/>
      <c r="D1468" s="896"/>
      <c r="E1468" s="896"/>
      <c r="R1468" s="897"/>
      <c r="S1468" s="897"/>
      <c r="T1468" s="897"/>
      <c r="U1468" s="897"/>
      <c r="V1468" s="897"/>
      <c r="W1468" s="897"/>
      <c r="X1468" s="897"/>
      <c r="Y1468" s="897"/>
    </row>
    <row r="1469" spans="1:25">
      <c r="A1469" s="896"/>
      <c r="B1469" s="896"/>
      <c r="C1469" s="896"/>
      <c r="D1469" s="896"/>
      <c r="E1469" s="896"/>
      <c r="R1469" s="897"/>
      <c r="S1469" s="897"/>
      <c r="T1469" s="897"/>
      <c r="U1469" s="897"/>
      <c r="V1469" s="897"/>
      <c r="W1469" s="897"/>
      <c r="X1469" s="897"/>
      <c r="Y1469" s="897"/>
    </row>
    <row r="1470" spans="1:25">
      <c r="A1470" s="896"/>
      <c r="B1470" s="896"/>
      <c r="C1470" s="896"/>
      <c r="D1470" s="896"/>
      <c r="E1470" s="896"/>
      <c r="R1470" s="897"/>
      <c r="S1470" s="897"/>
      <c r="T1470" s="897"/>
      <c r="U1470" s="897"/>
      <c r="V1470" s="897"/>
      <c r="W1470" s="897"/>
      <c r="X1470" s="897"/>
      <c r="Y1470" s="897"/>
    </row>
    <row r="1471" spans="1:25">
      <c r="A1471" s="896"/>
      <c r="B1471" s="896"/>
      <c r="C1471" s="896"/>
      <c r="D1471" s="896"/>
      <c r="E1471" s="896"/>
      <c r="R1471" s="897"/>
      <c r="S1471" s="897"/>
      <c r="T1471" s="897"/>
      <c r="U1471" s="897"/>
      <c r="V1471" s="897"/>
      <c r="W1471" s="897"/>
      <c r="X1471" s="897"/>
      <c r="Y1471" s="897"/>
    </row>
    <row r="1472" spans="1:25">
      <c r="A1472" s="896"/>
      <c r="B1472" s="896"/>
      <c r="C1472" s="896"/>
      <c r="D1472" s="896"/>
      <c r="E1472" s="896"/>
      <c r="R1472" s="897"/>
      <c r="S1472" s="897"/>
      <c r="T1472" s="897"/>
      <c r="U1472" s="897"/>
      <c r="V1472" s="897"/>
      <c r="W1472" s="897"/>
      <c r="X1472" s="897"/>
      <c r="Y1472" s="897"/>
    </row>
    <row r="1473" spans="1:25">
      <c r="A1473" s="896"/>
      <c r="B1473" s="896"/>
      <c r="C1473" s="896"/>
      <c r="D1473" s="896"/>
      <c r="E1473" s="896"/>
      <c r="R1473" s="897"/>
      <c r="S1473" s="897"/>
      <c r="T1473" s="897"/>
      <c r="U1473" s="897"/>
      <c r="V1473" s="897"/>
      <c r="W1473" s="897"/>
      <c r="X1473" s="897"/>
      <c r="Y1473" s="897"/>
    </row>
    <row r="1474" spans="1:25">
      <c r="A1474" s="896"/>
      <c r="B1474" s="896"/>
      <c r="C1474" s="896"/>
      <c r="D1474" s="896"/>
      <c r="E1474" s="896"/>
      <c r="R1474" s="897"/>
      <c r="S1474" s="897"/>
      <c r="T1474" s="897"/>
      <c r="U1474" s="897"/>
      <c r="V1474" s="897"/>
      <c r="W1474" s="897"/>
      <c r="X1474" s="897"/>
      <c r="Y1474" s="897"/>
    </row>
    <row r="1475" spans="1:25">
      <c r="A1475" s="896"/>
      <c r="B1475" s="896"/>
      <c r="C1475" s="896"/>
      <c r="D1475" s="896"/>
      <c r="E1475" s="896"/>
      <c r="R1475" s="897"/>
      <c r="S1475" s="897"/>
      <c r="T1475" s="897"/>
      <c r="U1475" s="897"/>
      <c r="V1475" s="897"/>
      <c r="W1475" s="897"/>
      <c r="X1475" s="897"/>
      <c r="Y1475" s="897"/>
    </row>
    <row r="1476" spans="1:25">
      <c r="A1476" s="896"/>
      <c r="B1476" s="896"/>
      <c r="C1476" s="896"/>
      <c r="D1476" s="896"/>
      <c r="E1476" s="896"/>
      <c r="R1476" s="897"/>
      <c r="S1476" s="897"/>
      <c r="T1476" s="897"/>
      <c r="U1476" s="897"/>
      <c r="V1476" s="897"/>
      <c r="W1476" s="897"/>
      <c r="X1476" s="897"/>
      <c r="Y1476" s="897"/>
    </row>
    <row r="1477" spans="1:25">
      <c r="A1477" s="896"/>
      <c r="B1477" s="896"/>
      <c r="C1477" s="896"/>
      <c r="D1477" s="896"/>
      <c r="E1477" s="896"/>
      <c r="R1477" s="897"/>
      <c r="S1477" s="897"/>
      <c r="T1477" s="897"/>
      <c r="U1477" s="897"/>
      <c r="V1477" s="897"/>
      <c r="W1477" s="897"/>
      <c r="X1477" s="897"/>
      <c r="Y1477" s="897"/>
    </row>
    <row r="1478" spans="1:25">
      <c r="A1478" s="896"/>
      <c r="B1478" s="896"/>
      <c r="C1478" s="896"/>
      <c r="D1478" s="896"/>
      <c r="E1478" s="896"/>
      <c r="R1478" s="897"/>
      <c r="S1478" s="897"/>
      <c r="T1478" s="897"/>
      <c r="U1478" s="897"/>
      <c r="V1478" s="897"/>
      <c r="W1478" s="897"/>
      <c r="X1478" s="897"/>
      <c r="Y1478" s="897"/>
    </row>
    <row r="1479" spans="1:25">
      <c r="A1479" s="896"/>
      <c r="B1479" s="896"/>
      <c r="C1479" s="896"/>
      <c r="D1479" s="896"/>
      <c r="E1479" s="896"/>
      <c r="R1479" s="897"/>
      <c r="S1479" s="897"/>
      <c r="T1479" s="897"/>
      <c r="U1479" s="897"/>
      <c r="V1479" s="897"/>
      <c r="W1479" s="897"/>
      <c r="X1479" s="897"/>
      <c r="Y1479" s="897"/>
    </row>
    <row r="1480" spans="1:25">
      <c r="A1480" s="896"/>
      <c r="B1480" s="896"/>
      <c r="C1480" s="896"/>
      <c r="D1480" s="896"/>
      <c r="E1480" s="896"/>
      <c r="R1480" s="897"/>
      <c r="S1480" s="897"/>
      <c r="T1480" s="897"/>
      <c r="U1480" s="897"/>
      <c r="V1480" s="897"/>
      <c r="W1480" s="897"/>
      <c r="X1480" s="897"/>
      <c r="Y1480" s="897"/>
    </row>
    <row r="1481" spans="1:25">
      <c r="A1481" s="896"/>
      <c r="B1481" s="896"/>
      <c r="C1481" s="896"/>
      <c r="D1481" s="896"/>
      <c r="E1481" s="896"/>
      <c r="R1481" s="897"/>
      <c r="S1481" s="897"/>
      <c r="T1481" s="897"/>
      <c r="U1481" s="897"/>
      <c r="V1481" s="897"/>
      <c r="W1481" s="897"/>
      <c r="X1481" s="897"/>
      <c r="Y1481" s="897"/>
    </row>
    <row r="1482" spans="1:25">
      <c r="A1482" s="896"/>
      <c r="B1482" s="896"/>
      <c r="C1482" s="896"/>
      <c r="D1482" s="896"/>
      <c r="E1482" s="896"/>
      <c r="R1482" s="897"/>
      <c r="S1482" s="897"/>
      <c r="T1482" s="897"/>
      <c r="U1482" s="897"/>
      <c r="V1482" s="897"/>
      <c r="W1482" s="897"/>
      <c r="X1482" s="897"/>
      <c r="Y1482" s="897"/>
    </row>
    <row r="1483" spans="1:25">
      <c r="A1483" s="896"/>
      <c r="B1483" s="896"/>
      <c r="C1483" s="896"/>
      <c r="D1483" s="896"/>
      <c r="E1483" s="896"/>
      <c r="R1483" s="897"/>
      <c r="S1483" s="897"/>
      <c r="T1483" s="897"/>
      <c r="U1483" s="897"/>
      <c r="V1483" s="897"/>
      <c r="W1483" s="897"/>
      <c r="X1483" s="897"/>
      <c r="Y1483" s="897"/>
    </row>
    <row r="1484" spans="1:25">
      <c r="A1484" s="896"/>
      <c r="B1484" s="896"/>
      <c r="C1484" s="896"/>
      <c r="D1484" s="896"/>
      <c r="E1484" s="896"/>
      <c r="R1484" s="897"/>
      <c r="S1484" s="897"/>
      <c r="T1484" s="897"/>
      <c r="U1484" s="897"/>
      <c r="V1484" s="897"/>
      <c r="W1484" s="897"/>
      <c r="X1484" s="897"/>
      <c r="Y1484" s="897"/>
    </row>
    <row r="1485" spans="1:25">
      <c r="A1485" s="896"/>
      <c r="B1485" s="896"/>
      <c r="C1485" s="896"/>
      <c r="D1485" s="896"/>
      <c r="E1485" s="896"/>
      <c r="R1485" s="897"/>
      <c r="S1485" s="897"/>
      <c r="T1485" s="897"/>
      <c r="U1485" s="897"/>
      <c r="V1485" s="897"/>
      <c r="W1485" s="897"/>
      <c r="X1485" s="897"/>
      <c r="Y1485" s="897"/>
    </row>
    <row r="1486" spans="1:25">
      <c r="A1486" s="896"/>
      <c r="B1486" s="896"/>
      <c r="C1486" s="896"/>
      <c r="D1486" s="896"/>
      <c r="E1486" s="896"/>
      <c r="R1486" s="897"/>
      <c r="S1486" s="897"/>
      <c r="T1486" s="897"/>
      <c r="U1486" s="897"/>
      <c r="V1486" s="897"/>
      <c r="W1486" s="897"/>
      <c r="X1486" s="897"/>
      <c r="Y1486" s="897"/>
    </row>
    <row r="1487" spans="1:25">
      <c r="A1487" s="896"/>
      <c r="B1487" s="896"/>
      <c r="C1487" s="896"/>
      <c r="D1487" s="896"/>
      <c r="E1487" s="896"/>
      <c r="R1487" s="897"/>
      <c r="S1487" s="897"/>
      <c r="T1487" s="897"/>
      <c r="U1487" s="897"/>
      <c r="V1487" s="897"/>
      <c r="W1487" s="897"/>
      <c r="X1487" s="897"/>
      <c r="Y1487" s="897"/>
    </row>
    <row r="1488" spans="1:25">
      <c r="A1488" s="896"/>
      <c r="B1488" s="896"/>
      <c r="C1488" s="896"/>
      <c r="D1488" s="896"/>
      <c r="E1488" s="896"/>
      <c r="R1488" s="897"/>
      <c r="S1488" s="897"/>
      <c r="T1488" s="897"/>
      <c r="U1488" s="897"/>
      <c r="V1488" s="897"/>
      <c r="W1488" s="897"/>
      <c r="X1488" s="897"/>
      <c r="Y1488" s="897"/>
    </row>
    <row r="1489" spans="1:25">
      <c r="A1489" s="896"/>
      <c r="B1489" s="896"/>
      <c r="C1489" s="896"/>
      <c r="D1489" s="896"/>
      <c r="E1489" s="896"/>
      <c r="R1489" s="897"/>
      <c r="S1489" s="897"/>
      <c r="T1489" s="897"/>
      <c r="U1489" s="897"/>
      <c r="V1489" s="897"/>
      <c r="W1489" s="897"/>
      <c r="X1489" s="897"/>
      <c r="Y1489" s="897"/>
    </row>
    <row r="1490" spans="1:25">
      <c r="A1490" s="896"/>
      <c r="B1490" s="896"/>
      <c r="C1490" s="896"/>
      <c r="D1490" s="896"/>
      <c r="E1490" s="896"/>
      <c r="R1490" s="897"/>
      <c r="S1490" s="897"/>
      <c r="T1490" s="897"/>
      <c r="U1490" s="897"/>
      <c r="V1490" s="897"/>
      <c r="W1490" s="897"/>
      <c r="X1490" s="897"/>
      <c r="Y1490" s="897"/>
    </row>
    <row r="1491" spans="1:25">
      <c r="A1491" s="896"/>
      <c r="B1491" s="896"/>
      <c r="C1491" s="896"/>
      <c r="D1491" s="896"/>
      <c r="E1491" s="896"/>
      <c r="R1491" s="897"/>
      <c r="S1491" s="897"/>
      <c r="T1491" s="897"/>
      <c r="U1491" s="897"/>
      <c r="V1491" s="897"/>
      <c r="W1491" s="897"/>
      <c r="X1491" s="897"/>
      <c r="Y1491" s="897"/>
    </row>
    <row r="1492" spans="1:25">
      <c r="A1492" s="896"/>
      <c r="B1492" s="896"/>
      <c r="C1492" s="896"/>
      <c r="D1492" s="896"/>
      <c r="E1492" s="896"/>
      <c r="R1492" s="897"/>
      <c r="S1492" s="897"/>
      <c r="T1492" s="897"/>
      <c r="U1492" s="897"/>
      <c r="V1492" s="897"/>
      <c r="W1492" s="897"/>
      <c r="X1492" s="897"/>
      <c r="Y1492" s="897"/>
    </row>
    <row r="1493" spans="1:25">
      <c r="A1493" s="896"/>
      <c r="B1493" s="896"/>
      <c r="C1493" s="896"/>
      <c r="D1493" s="896"/>
      <c r="E1493" s="896"/>
      <c r="R1493" s="897"/>
      <c r="S1493" s="897"/>
      <c r="T1493" s="897"/>
      <c r="U1493" s="897"/>
      <c r="V1493" s="897"/>
      <c r="W1493" s="897"/>
      <c r="X1493" s="897"/>
      <c r="Y1493" s="897"/>
    </row>
    <row r="1494" spans="1:25">
      <c r="A1494" s="896"/>
      <c r="B1494" s="896"/>
      <c r="C1494" s="896"/>
      <c r="D1494" s="896"/>
      <c r="E1494" s="896"/>
      <c r="R1494" s="897"/>
      <c r="S1494" s="897"/>
      <c r="T1494" s="897"/>
      <c r="U1494" s="897"/>
      <c r="V1494" s="897"/>
      <c r="W1494" s="897"/>
      <c r="X1494" s="897"/>
      <c r="Y1494" s="897"/>
    </row>
    <row r="1495" spans="1:25">
      <c r="A1495" s="896"/>
      <c r="B1495" s="896"/>
      <c r="C1495" s="896"/>
      <c r="D1495" s="896"/>
      <c r="E1495" s="896"/>
      <c r="R1495" s="897"/>
      <c r="S1495" s="897"/>
      <c r="T1495" s="897"/>
      <c r="U1495" s="897"/>
      <c r="V1495" s="897"/>
      <c r="W1495" s="897"/>
      <c r="X1495" s="897"/>
      <c r="Y1495" s="897"/>
    </row>
    <row r="1496" spans="1:25">
      <c r="A1496" s="896"/>
      <c r="B1496" s="896"/>
      <c r="C1496" s="896"/>
      <c r="D1496" s="896"/>
      <c r="E1496" s="896"/>
      <c r="R1496" s="897"/>
      <c r="S1496" s="897"/>
      <c r="T1496" s="897"/>
      <c r="U1496" s="897"/>
      <c r="V1496" s="897"/>
      <c r="W1496" s="897"/>
      <c r="X1496" s="897"/>
      <c r="Y1496" s="897"/>
    </row>
    <row r="1497" spans="1:25">
      <c r="A1497" s="896"/>
      <c r="B1497" s="896"/>
      <c r="C1497" s="896"/>
      <c r="D1497" s="896"/>
      <c r="E1497" s="896"/>
      <c r="R1497" s="897"/>
      <c r="S1497" s="897"/>
      <c r="T1497" s="897"/>
      <c r="U1497" s="897"/>
      <c r="V1497" s="897"/>
      <c r="W1497" s="897"/>
      <c r="X1497" s="897"/>
      <c r="Y1497" s="897"/>
    </row>
    <row r="1498" spans="1:25">
      <c r="A1498" s="896"/>
      <c r="B1498" s="896"/>
      <c r="C1498" s="896"/>
      <c r="D1498" s="896"/>
      <c r="E1498" s="896"/>
      <c r="R1498" s="897"/>
      <c r="S1498" s="897"/>
      <c r="T1498" s="897"/>
      <c r="U1498" s="897"/>
      <c r="V1498" s="897"/>
      <c r="W1498" s="897"/>
      <c r="X1498" s="897"/>
      <c r="Y1498" s="897"/>
    </row>
    <row r="1499" spans="1:25">
      <c r="A1499" s="896"/>
      <c r="B1499" s="896"/>
      <c r="C1499" s="896"/>
      <c r="D1499" s="896"/>
      <c r="E1499" s="896"/>
      <c r="R1499" s="897"/>
      <c r="S1499" s="897"/>
      <c r="T1499" s="897"/>
      <c r="U1499" s="897"/>
      <c r="V1499" s="897"/>
      <c r="W1499" s="897"/>
      <c r="X1499" s="897"/>
      <c r="Y1499" s="897"/>
    </row>
    <row r="1500" spans="1:25">
      <c r="A1500" s="896"/>
      <c r="B1500" s="896"/>
      <c r="C1500" s="896"/>
      <c r="D1500" s="896"/>
      <c r="E1500" s="896"/>
      <c r="R1500" s="897"/>
      <c r="S1500" s="897"/>
      <c r="T1500" s="897"/>
      <c r="U1500" s="897"/>
      <c r="V1500" s="897"/>
      <c r="W1500" s="897"/>
      <c r="X1500" s="897"/>
      <c r="Y1500" s="897"/>
    </row>
    <row r="1501" spans="1:25">
      <c r="A1501" s="896"/>
      <c r="B1501" s="896"/>
      <c r="C1501" s="896"/>
      <c r="D1501" s="896"/>
      <c r="E1501" s="896"/>
      <c r="R1501" s="897"/>
      <c r="S1501" s="897"/>
      <c r="T1501" s="897"/>
      <c r="U1501" s="897"/>
      <c r="V1501" s="897"/>
      <c r="W1501" s="897"/>
      <c r="X1501" s="897"/>
      <c r="Y1501" s="897"/>
    </row>
    <row r="1502" spans="1:25">
      <c r="A1502" s="896"/>
      <c r="B1502" s="896"/>
      <c r="C1502" s="896"/>
      <c r="D1502" s="896"/>
      <c r="E1502" s="896"/>
      <c r="R1502" s="897"/>
      <c r="S1502" s="897"/>
      <c r="T1502" s="897"/>
      <c r="U1502" s="897"/>
      <c r="V1502" s="897"/>
      <c r="W1502" s="897"/>
      <c r="X1502" s="897"/>
      <c r="Y1502" s="897"/>
    </row>
    <row r="1503" spans="1:25">
      <c r="A1503" s="896"/>
      <c r="B1503" s="896"/>
      <c r="C1503" s="896"/>
      <c r="D1503" s="896"/>
      <c r="E1503" s="896"/>
      <c r="R1503" s="897"/>
      <c r="S1503" s="897"/>
      <c r="T1503" s="897"/>
      <c r="U1503" s="897"/>
      <c r="V1503" s="897"/>
      <c r="W1503" s="897"/>
      <c r="X1503" s="897"/>
      <c r="Y1503" s="897"/>
    </row>
    <row r="1504" spans="1:25">
      <c r="A1504" s="896"/>
      <c r="B1504" s="896"/>
      <c r="C1504" s="896"/>
      <c r="D1504" s="896"/>
      <c r="E1504" s="896"/>
      <c r="R1504" s="897"/>
      <c r="S1504" s="897"/>
      <c r="T1504" s="897"/>
      <c r="U1504" s="897"/>
      <c r="V1504" s="897"/>
      <c r="W1504" s="897"/>
      <c r="X1504" s="897"/>
      <c r="Y1504" s="897"/>
    </row>
    <row r="1505" spans="1:25">
      <c r="A1505" s="896"/>
      <c r="B1505" s="896"/>
      <c r="C1505" s="896"/>
      <c r="D1505" s="896"/>
      <c r="E1505" s="896"/>
      <c r="R1505" s="897"/>
      <c r="S1505" s="897"/>
      <c r="T1505" s="897"/>
      <c r="U1505" s="897"/>
      <c r="V1505" s="897"/>
      <c r="W1505" s="897"/>
      <c r="X1505" s="897"/>
      <c r="Y1505" s="897"/>
    </row>
    <row r="1506" spans="1:25">
      <c r="A1506" s="896"/>
      <c r="B1506" s="896"/>
      <c r="C1506" s="896"/>
      <c r="D1506" s="896"/>
      <c r="E1506" s="896"/>
      <c r="R1506" s="897"/>
      <c r="S1506" s="897"/>
      <c r="T1506" s="897"/>
      <c r="U1506" s="897"/>
      <c r="V1506" s="897"/>
      <c r="W1506" s="897"/>
      <c r="X1506" s="897"/>
      <c r="Y1506" s="897"/>
    </row>
    <row r="1507" spans="1:25">
      <c r="A1507" s="896"/>
      <c r="B1507" s="896"/>
      <c r="C1507" s="896"/>
      <c r="D1507" s="896"/>
      <c r="E1507" s="896"/>
      <c r="R1507" s="897"/>
      <c r="S1507" s="897"/>
      <c r="T1507" s="897"/>
      <c r="U1507" s="897"/>
      <c r="V1507" s="897"/>
      <c r="W1507" s="897"/>
      <c r="X1507" s="897"/>
      <c r="Y1507" s="897"/>
    </row>
    <row r="1508" spans="1:25">
      <c r="A1508" s="896"/>
      <c r="B1508" s="896"/>
      <c r="C1508" s="896"/>
      <c r="D1508" s="896"/>
      <c r="E1508" s="896"/>
      <c r="R1508" s="897"/>
      <c r="S1508" s="897"/>
      <c r="T1508" s="897"/>
      <c r="U1508" s="897"/>
      <c r="V1508" s="897"/>
      <c r="W1508" s="897"/>
      <c r="X1508" s="897"/>
      <c r="Y1508" s="897"/>
    </row>
    <row r="1509" spans="1:25">
      <c r="A1509" s="896"/>
      <c r="B1509" s="896"/>
      <c r="C1509" s="896"/>
      <c r="D1509" s="896"/>
      <c r="E1509" s="896"/>
      <c r="R1509" s="897"/>
      <c r="S1509" s="897"/>
      <c r="T1509" s="897"/>
      <c r="U1509" s="897"/>
      <c r="V1509" s="897"/>
      <c r="W1509" s="897"/>
      <c r="X1509" s="897"/>
      <c r="Y1509" s="897"/>
    </row>
    <row r="1510" spans="1:25">
      <c r="A1510" s="896"/>
      <c r="B1510" s="896"/>
      <c r="C1510" s="896"/>
      <c r="D1510" s="896"/>
      <c r="E1510" s="896"/>
      <c r="R1510" s="897"/>
      <c r="S1510" s="897"/>
      <c r="T1510" s="897"/>
      <c r="U1510" s="897"/>
      <c r="V1510" s="897"/>
      <c r="W1510" s="897"/>
      <c r="X1510" s="897"/>
      <c r="Y1510" s="897"/>
    </row>
    <row r="1511" spans="1:25">
      <c r="A1511" s="896"/>
      <c r="B1511" s="896"/>
      <c r="C1511" s="896"/>
      <c r="D1511" s="896"/>
      <c r="E1511" s="896"/>
      <c r="R1511" s="897"/>
      <c r="S1511" s="897"/>
      <c r="T1511" s="897"/>
      <c r="U1511" s="897"/>
      <c r="V1511" s="897"/>
      <c r="W1511" s="897"/>
      <c r="X1511" s="897"/>
      <c r="Y1511" s="897"/>
    </row>
    <row r="1512" spans="1:25">
      <c r="A1512" s="896"/>
      <c r="B1512" s="896"/>
      <c r="C1512" s="896"/>
      <c r="D1512" s="896"/>
      <c r="E1512" s="896"/>
      <c r="R1512" s="897"/>
      <c r="S1512" s="897"/>
      <c r="T1512" s="897"/>
      <c r="U1512" s="897"/>
      <c r="V1512" s="897"/>
      <c r="W1512" s="897"/>
      <c r="X1512" s="897"/>
      <c r="Y1512" s="897"/>
    </row>
    <row r="1513" spans="1:25">
      <c r="A1513" s="896"/>
      <c r="B1513" s="896"/>
      <c r="C1513" s="896"/>
      <c r="D1513" s="896"/>
      <c r="E1513" s="896"/>
      <c r="R1513" s="897"/>
      <c r="S1513" s="897"/>
      <c r="T1513" s="897"/>
      <c r="U1513" s="897"/>
      <c r="V1513" s="897"/>
      <c r="W1513" s="897"/>
      <c r="X1513" s="897"/>
      <c r="Y1513" s="897"/>
    </row>
    <row r="1514" spans="1:25">
      <c r="A1514" s="896"/>
      <c r="B1514" s="896"/>
      <c r="C1514" s="896"/>
      <c r="D1514" s="896"/>
      <c r="E1514" s="896"/>
      <c r="R1514" s="897"/>
      <c r="S1514" s="897"/>
      <c r="T1514" s="897"/>
      <c r="U1514" s="897"/>
      <c r="V1514" s="897"/>
      <c r="W1514" s="897"/>
      <c r="X1514" s="897"/>
      <c r="Y1514" s="897"/>
    </row>
    <row r="1515" spans="1:25">
      <c r="A1515" s="896"/>
      <c r="B1515" s="896"/>
      <c r="C1515" s="896"/>
      <c r="D1515" s="896"/>
      <c r="E1515" s="896"/>
      <c r="R1515" s="897"/>
      <c r="S1515" s="897"/>
      <c r="T1515" s="897"/>
      <c r="U1515" s="897"/>
      <c r="V1515" s="897"/>
      <c r="W1515" s="897"/>
      <c r="X1515" s="897"/>
      <c r="Y1515" s="897"/>
    </row>
    <row r="1516" spans="1:25">
      <c r="A1516" s="896"/>
      <c r="B1516" s="896"/>
      <c r="C1516" s="896"/>
      <c r="D1516" s="896"/>
      <c r="E1516" s="896"/>
      <c r="R1516" s="897"/>
      <c r="S1516" s="897"/>
      <c r="T1516" s="897"/>
      <c r="U1516" s="897"/>
      <c r="V1516" s="897"/>
      <c r="W1516" s="897"/>
      <c r="X1516" s="897"/>
      <c r="Y1516" s="897"/>
    </row>
    <row r="1517" spans="1:25">
      <c r="A1517" s="896"/>
      <c r="B1517" s="896"/>
      <c r="C1517" s="896"/>
      <c r="D1517" s="896"/>
      <c r="E1517" s="896"/>
      <c r="R1517" s="897"/>
      <c r="S1517" s="897"/>
      <c r="T1517" s="897"/>
      <c r="U1517" s="897"/>
      <c r="V1517" s="897"/>
      <c r="W1517" s="897"/>
      <c r="X1517" s="897"/>
      <c r="Y1517" s="897"/>
    </row>
    <row r="1518" spans="1:25">
      <c r="A1518" s="896"/>
      <c r="B1518" s="896"/>
      <c r="C1518" s="896"/>
      <c r="D1518" s="896"/>
      <c r="E1518" s="896"/>
      <c r="R1518" s="897"/>
      <c r="S1518" s="897"/>
      <c r="T1518" s="897"/>
      <c r="U1518" s="897"/>
      <c r="V1518" s="897"/>
      <c r="W1518" s="897"/>
      <c r="X1518" s="897"/>
      <c r="Y1518" s="897"/>
    </row>
    <row r="1519" spans="1:25">
      <c r="A1519" s="896"/>
      <c r="B1519" s="896"/>
      <c r="C1519" s="896"/>
      <c r="D1519" s="896"/>
      <c r="E1519" s="896"/>
      <c r="R1519" s="897"/>
      <c r="S1519" s="897"/>
      <c r="T1519" s="897"/>
      <c r="U1519" s="897"/>
      <c r="V1519" s="897"/>
      <c r="W1519" s="897"/>
      <c r="X1519" s="897"/>
      <c r="Y1519" s="897"/>
    </row>
    <row r="1520" spans="1:25">
      <c r="A1520" s="896"/>
      <c r="B1520" s="896"/>
      <c r="C1520" s="896"/>
      <c r="D1520" s="896"/>
      <c r="E1520" s="896"/>
      <c r="R1520" s="897"/>
      <c r="S1520" s="897"/>
      <c r="T1520" s="897"/>
      <c r="U1520" s="897"/>
      <c r="V1520" s="897"/>
      <c r="W1520" s="897"/>
      <c r="X1520" s="897"/>
      <c r="Y1520" s="897"/>
    </row>
    <row r="1521" spans="1:25">
      <c r="A1521" s="896"/>
      <c r="B1521" s="896"/>
      <c r="C1521" s="896"/>
      <c r="D1521" s="896"/>
      <c r="E1521" s="896"/>
      <c r="R1521" s="897"/>
      <c r="S1521" s="897"/>
      <c r="T1521" s="897"/>
      <c r="U1521" s="897"/>
      <c r="V1521" s="897"/>
      <c r="W1521" s="897"/>
      <c r="X1521" s="897"/>
      <c r="Y1521" s="897"/>
    </row>
    <row r="1522" spans="1:25">
      <c r="A1522" s="896"/>
      <c r="B1522" s="896"/>
      <c r="C1522" s="896"/>
      <c r="D1522" s="896"/>
      <c r="E1522" s="896"/>
      <c r="R1522" s="897"/>
      <c r="S1522" s="897"/>
      <c r="T1522" s="897"/>
      <c r="U1522" s="897"/>
      <c r="V1522" s="897"/>
      <c r="W1522" s="897"/>
      <c r="X1522" s="897"/>
      <c r="Y1522" s="897"/>
    </row>
    <row r="1523" spans="1:25">
      <c r="A1523" s="896"/>
      <c r="B1523" s="896"/>
      <c r="C1523" s="896"/>
      <c r="D1523" s="896"/>
      <c r="E1523" s="896"/>
      <c r="R1523" s="897"/>
      <c r="S1523" s="897"/>
      <c r="T1523" s="897"/>
      <c r="U1523" s="897"/>
      <c r="V1523" s="897"/>
      <c r="W1523" s="897"/>
      <c r="X1523" s="897"/>
      <c r="Y1523" s="897"/>
    </row>
    <row r="1524" spans="1:25">
      <c r="A1524" s="896"/>
      <c r="B1524" s="896"/>
      <c r="C1524" s="896"/>
      <c r="D1524" s="896"/>
      <c r="E1524" s="896"/>
      <c r="R1524" s="897"/>
      <c r="S1524" s="897"/>
      <c r="T1524" s="897"/>
      <c r="U1524" s="897"/>
      <c r="V1524" s="897"/>
      <c r="W1524" s="897"/>
      <c r="X1524" s="897"/>
      <c r="Y1524" s="897"/>
    </row>
    <row r="1525" spans="1:25">
      <c r="A1525" s="896"/>
      <c r="B1525" s="896"/>
      <c r="C1525" s="896"/>
      <c r="D1525" s="896"/>
      <c r="E1525" s="896"/>
      <c r="R1525" s="897"/>
      <c r="S1525" s="897"/>
      <c r="T1525" s="897"/>
      <c r="U1525" s="897"/>
      <c r="V1525" s="897"/>
      <c r="W1525" s="897"/>
      <c r="X1525" s="897"/>
      <c r="Y1525" s="897"/>
    </row>
    <row r="1526" spans="1:25">
      <c r="A1526" s="896"/>
      <c r="B1526" s="896"/>
      <c r="C1526" s="896"/>
      <c r="D1526" s="896"/>
      <c r="E1526" s="896"/>
      <c r="R1526" s="897"/>
      <c r="S1526" s="897"/>
      <c r="T1526" s="897"/>
      <c r="U1526" s="897"/>
      <c r="V1526" s="897"/>
      <c r="W1526" s="897"/>
      <c r="X1526" s="897"/>
      <c r="Y1526" s="897"/>
    </row>
    <row r="1527" spans="1:25">
      <c r="E1527" s="896"/>
      <c r="R1527" s="897"/>
      <c r="S1527" s="897"/>
      <c r="T1527" s="897"/>
      <c r="U1527" s="897"/>
      <c r="V1527" s="897"/>
      <c r="W1527" s="897"/>
      <c r="X1527" s="897"/>
      <c r="Y1527" s="897"/>
    </row>
    <row r="1528" spans="1:25">
      <c r="E1528" s="896"/>
      <c r="R1528" s="897"/>
      <c r="S1528" s="897"/>
      <c r="T1528" s="897"/>
      <c r="U1528" s="897"/>
      <c r="V1528" s="897"/>
      <c r="W1528" s="897"/>
      <c r="X1528" s="897"/>
      <c r="Y1528" s="897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3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18:B19 B24:B25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D65" r:id="rId2"/>
    <hyperlink ref="B58" r:id="rId3"/>
    <hyperlink ref="D58" r:id="rId4"/>
    <hyperlink ref="B43" r:id="rId5"/>
    <hyperlink ref="B36" r:id="rId6"/>
    <hyperlink ref="D36" r:id="rId7"/>
    <hyperlink ref="B65" r:id="rId8"/>
    <hyperlink ref="B72" r:id="rId9"/>
    <hyperlink ref="B78" r:id="rId10"/>
    <hyperlink ref="D43" r:id="rId11"/>
  </hyperlinks>
  <pageMargins left="0.75" right="0.75" top="1" bottom="1" header="0.5" footer="0.5"/>
  <pageSetup scale="74" orientation="portrait" r:id="rId12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23" activePane="bottomRight" state="frozen"/>
      <selection activeCell="B2" sqref="B2"/>
      <selection pane="topRight" activeCell="B2" sqref="B2"/>
      <selection pane="bottomLeft" activeCell="B2" sqref="B2"/>
      <selection pane="bottomRight" activeCell="H50" sqref="H50"/>
    </sheetView>
  </sheetViews>
  <sheetFormatPr defaultRowHeight="12.7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>
      <c r="A1" s="350" t="str">
        <f>muni&amp; " - "&amp;s71sum&amp; " - "&amp;date</f>
        <v>FS194 Maluti-a-Phofung - Table C1 Consolidated Monthly Budget Statement Summary - M07 January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>
      <c r="A2" s="976" t="str">
        <f>desc</f>
        <v>Description</v>
      </c>
      <c r="B2" s="159" t="str">
        <f>Head1</f>
        <v>2012/13</v>
      </c>
      <c r="C2" s="978" t="str">
        <f>Head2</f>
        <v>Budget Year 2013/14</v>
      </c>
      <c r="D2" s="979"/>
      <c r="E2" s="979"/>
      <c r="F2" s="979"/>
      <c r="G2" s="979"/>
      <c r="H2" s="979"/>
      <c r="I2" s="979"/>
      <c r="J2" s="980"/>
    </row>
    <row r="3" spans="1:10" ht="25.5">
      <c r="A3" s="977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>
      <c r="A4" s="189" t="s">
        <v>821</v>
      </c>
      <c r="B4" s="19"/>
      <c r="C4" s="223"/>
      <c r="D4" s="83"/>
      <c r="E4" s="83"/>
      <c r="F4" s="83"/>
      <c r="G4" s="83"/>
      <c r="H4" s="83"/>
      <c r="I4" s="243" t="s">
        <v>723</v>
      </c>
      <c r="J4" s="224"/>
    </row>
    <row r="5" spans="1:10" ht="12.75" customHeight="1">
      <c r="A5" s="156" t="s">
        <v>919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>
      <c r="A6" s="153" t="s">
        <v>1123</v>
      </c>
      <c r="B6" s="662">
        <f>SUM('C4-FinPerf RE'!C6:C7)</f>
        <v>0</v>
      </c>
      <c r="C6" s="663">
        <f>SUM('C4-FinPerf RE'!D6:D7)</f>
        <v>204308908.03999999</v>
      </c>
      <c r="D6" s="415">
        <f>SUM('C4-FinPerf RE'!E6:E7)</f>
        <v>0</v>
      </c>
      <c r="E6" s="415">
        <f>SUM('C4-FinPerf RE'!F6:F7)</f>
        <v>11729403.900000006</v>
      </c>
      <c r="F6" s="415">
        <f>SUM('C4-FinPerf RE'!G6:G7)</f>
        <v>87862052.520000011</v>
      </c>
      <c r="G6" s="664">
        <f>SUM('C4-FinPerf RE'!H6:H7)</f>
        <v>204308908.03999999</v>
      </c>
      <c r="H6" s="415">
        <f>F6-G6</f>
        <v>-116446855.51999998</v>
      </c>
      <c r="I6" s="605">
        <f>IF(H6=0,"",H6/G6)</f>
        <v>-0.56995486216000812</v>
      </c>
      <c r="J6" s="656">
        <f>SUM('C4-FinPerf RE'!K6:K7)</f>
        <v>204308908.03999999</v>
      </c>
    </row>
    <row r="7" spans="1:10" ht="12.75" customHeight="1">
      <c r="A7" s="153" t="s">
        <v>1155</v>
      </c>
      <c r="B7" s="662">
        <f>SUM('C4-FinPerf RE'!C8:C12)</f>
        <v>0</v>
      </c>
      <c r="C7" s="663">
        <f>SUM('C4-FinPerf RE'!D8:D12)</f>
        <v>493884187.5</v>
      </c>
      <c r="D7" s="415">
        <f>SUM('C4-FinPerf RE'!E8:E12)</f>
        <v>0</v>
      </c>
      <c r="E7" s="415">
        <f>SUM('C4-FinPerf RE'!F8:F12)</f>
        <v>28862627.309999999</v>
      </c>
      <c r="F7" s="415">
        <f>SUM('C4-FinPerf RE'!G8:G12)</f>
        <v>203223460.81</v>
      </c>
      <c r="G7" s="664">
        <f>SUM('C4-FinPerf RE'!H8:H12)</f>
        <v>493884187.5</v>
      </c>
      <c r="H7" s="415">
        <f>F7-G7</f>
        <v>-290660726.69</v>
      </c>
      <c r="I7" s="208">
        <f>IF(H7=0,"",H7/G7)</f>
        <v>-0.58852000944047234</v>
      </c>
      <c r="J7" s="656">
        <f>SUM('C4-FinPerf RE'!K8:K12)</f>
        <v>493884187.5</v>
      </c>
    </row>
    <row r="8" spans="1:10" ht="12.75" customHeight="1">
      <c r="A8" s="153" t="s">
        <v>614</v>
      </c>
      <c r="B8" s="662">
        <f>'C4-FinPerf RE'!C14</f>
        <v>0</v>
      </c>
      <c r="C8" s="663">
        <f>'C4-FinPerf RE'!D14</f>
        <v>2423545</v>
      </c>
      <c r="D8" s="415">
        <f>'C4-FinPerf RE'!E14</f>
        <v>0</v>
      </c>
      <c r="E8" s="415">
        <f>'C4-FinPerf RE'!F14</f>
        <v>45483.64</v>
      </c>
      <c r="F8" s="415">
        <f>'C4-FinPerf RE'!G14</f>
        <v>1058867.1499999999</v>
      </c>
      <c r="G8" s="664">
        <f>'C4-FinPerf RE'!H14</f>
        <v>2423545</v>
      </c>
      <c r="H8" s="415">
        <f>F8-G8</f>
        <v>-1364677.85</v>
      </c>
      <c r="I8" s="208">
        <f>IF(H8=0,"",H8/G8)</f>
        <v>-0.56309160754184473</v>
      </c>
      <c r="J8" s="656">
        <f>SUM('C4-FinPerf RE'!K14:K15)</f>
        <v>19550545</v>
      </c>
    </row>
    <row r="9" spans="1:10" ht="12.75" customHeight="1">
      <c r="A9" s="153" t="s">
        <v>80</v>
      </c>
      <c r="B9" s="662">
        <f>'C4-FinPerf RE'!C20</f>
        <v>0</v>
      </c>
      <c r="C9" s="663">
        <f>'C4-FinPerf RE'!D20</f>
        <v>425760000</v>
      </c>
      <c r="D9" s="415">
        <f>'C4-FinPerf RE'!E20</f>
        <v>0</v>
      </c>
      <c r="E9" s="415">
        <f>'C4-FinPerf RE'!F20</f>
        <v>638416.67000000004</v>
      </c>
      <c r="F9" s="415">
        <f>'C4-FinPerf RE'!G20</f>
        <v>300154917.01999998</v>
      </c>
      <c r="G9" s="664">
        <f>'C4-FinPerf RE'!H20</f>
        <v>425760000</v>
      </c>
      <c r="H9" s="415">
        <f>F9-G9</f>
        <v>-125605082.98000002</v>
      </c>
      <c r="I9" s="208">
        <f>IF(H9=0,"",H9/G9)</f>
        <v>-0.2950138175967682</v>
      </c>
      <c r="J9" s="656">
        <f>'C4-FinPerf RE'!K20</f>
        <v>425760000</v>
      </c>
    </row>
    <row r="10" spans="1:10" ht="12.75" customHeight="1">
      <c r="A10" s="233" t="s">
        <v>612</v>
      </c>
      <c r="B10" s="665">
        <f>'C4-FinPerf RE'!C13+'C4-FinPerf RE'!C15+'C4-FinPerf RE'!C16+'C4-FinPerf RE'!C17+'C4-FinPerf RE'!C18+'C4-FinPerf RE'!C19+'C4-FinPerf RE'!C21+'C4-FinPerf RE'!C22</f>
        <v>0</v>
      </c>
      <c r="C10" s="666">
        <f>'C4-FinPerf RE'!D13+'C4-FinPerf RE'!D15+'C4-FinPerf RE'!D16+'C4-FinPerf RE'!D17+'C4-FinPerf RE'!D18+'C4-FinPerf RE'!D19+'C4-FinPerf RE'!D21+'C4-FinPerf RE'!D22</f>
        <v>27388837.5</v>
      </c>
      <c r="D10" s="416">
        <f>'C4-FinPerf RE'!E13+'C4-FinPerf RE'!E15+'C4-FinPerf RE'!E16+'C4-FinPerf RE'!E17+'C4-FinPerf RE'!E18+'C4-FinPerf RE'!E19+'C4-FinPerf RE'!E21+'C4-FinPerf RE'!E22</f>
        <v>0</v>
      </c>
      <c r="E10" s="416">
        <f>'C4-FinPerf RE'!F13+'C4-FinPerf RE'!F15+'C4-FinPerf RE'!F16+'C4-FinPerf RE'!F17+'C4-FinPerf RE'!F18+'C4-FinPerf RE'!F19+'C4-FinPerf RE'!F21+'C4-FinPerf RE'!F22</f>
        <v>2188842.4799999995</v>
      </c>
      <c r="F10" s="416">
        <f>'C4-FinPerf RE'!G13+'C4-FinPerf RE'!G15+'C4-FinPerf RE'!G16+'C4-FinPerf RE'!G17+'C4-FinPerf RE'!G18+'C4-FinPerf RE'!G19+'C4-FinPerf RE'!G21+'C4-FinPerf RE'!G22</f>
        <v>17273660.079999998</v>
      </c>
      <c r="G10" s="667">
        <f>'C4-FinPerf RE'!H13+'C4-FinPerf RE'!H15+'C4-FinPerf RE'!H16+'C4-FinPerf RE'!H17+'C4-FinPerf RE'!H18+'C4-FinPerf RE'!H19+'C4-FinPerf RE'!H21+'C4-FinPerf RE'!H22</f>
        <v>27388837.5</v>
      </c>
      <c r="H10" s="416">
        <f>F10-G10</f>
        <v>-10115177.420000002</v>
      </c>
      <c r="I10" s="209">
        <f>IF(H10=0,"",H10/G10)</f>
        <v>-0.36931751557546033</v>
      </c>
      <c r="J10" s="668">
        <f>'C4-FinPerf RE'!K13+'C4-FinPerf RE'!K15+'C4-FinPerf RE'!K16+'C4-FinPerf RE'!K17+'C4-FinPerf RE'!K18+'C4-FinPerf RE'!K19+'C4-FinPerf RE'!K21+'C4-FinPerf RE'!K22</f>
        <v>27388837.5</v>
      </c>
    </row>
    <row r="11" spans="1:10" ht="23.25" customHeight="1">
      <c r="A11" s="596" t="s">
        <v>152</v>
      </c>
      <c r="B11" s="669">
        <f t="shared" ref="B11:J11" si="0">SUM(B6:B10)</f>
        <v>0</v>
      </c>
      <c r="C11" s="670">
        <f t="shared" si="0"/>
        <v>1153765478.04</v>
      </c>
      <c r="D11" s="671">
        <f t="shared" si="0"/>
        <v>0</v>
      </c>
      <c r="E11" s="671">
        <f t="shared" si="0"/>
        <v>43464774.000000007</v>
      </c>
      <c r="F11" s="671">
        <f t="shared" si="0"/>
        <v>609572957.58000004</v>
      </c>
      <c r="G11" s="672">
        <f t="shared" si="0"/>
        <v>1153765478.04</v>
      </c>
      <c r="H11" s="671">
        <f t="shared" ref="H11:H25" si="1">F11-G11</f>
        <v>-544192520.45999992</v>
      </c>
      <c r="I11" s="607">
        <f t="shared" ref="I11:I25" si="2">IF(H11=0,"",H11/G11)</f>
        <v>-0.47166649619684087</v>
      </c>
      <c r="J11" s="673">
        <f t="shared" si="0"/>
        <v>1170892478.04</v>
      </c>
    </row>
    <row r="12" spans="1:10" ht="12.75" customHeight="1">
      <c r="A12" s="153" t="s">
        <v>588</v>
      </c>
      <c r="B12" s="662">
        <f>'C4-FinPerf RE'!C26</f>
        <v>0</v>
      </c>
      <c r="C12" s="663">
        <f>'C4-FinPerf RE'!D26</f>
        <v>275099686.49000001</v>
      </c>
      <c r="D12" s="415">
        <f>'C4-FinPerf RE'!E26</f>
        <v>0</v>
      </c>
      <c r="E12" s="415">
        <f>'C4-FinPerf RE'!F26</f>
        <v>21277184.670000002</v>
      </c>
      <c r="F12" s="415">
        <f>'C4-FinPerf RE'!G26</f>
        <v>144867740.21000001</v>
      </c>
      <c r="G12" s="664">
        <f>'C4-FinPerf RE'!H26</f>
        <v>275099686.49000001</v>
      </c>
      <c r="H12" s="415">
        <f t="shared" si="1"/>
        <v>-130231946.28</v>
      </c>
      <c r="I12" s="208">
        <f t="shared" si="2"/>
        <v>-0.47339910830735893</v>
      </c>
      <c r="J12" s="656">
        <f>'C4-FinPerf RE'!K26</f>
        <v>275099686.49000001</v>
      </c>
    </row>
    <row r="13" spans="1:10" ht="12.75" customHeight="1">
      <c r="A13" s="153" t="s">
        <v>1023</v>
      </c>
      <c r="B13" s="662">
        <f>'C4-FinPerf RE'!C27</f>
        <v>0</v>
      </c>
      <c r="C13" s="663">
        <f>'C4-FinPerf RE'!D27</f>
        <v>24073709</v>
      </c>
      <c r="D13" s="415">
        <f>'C4-FinPerf RE'!E27</f>
        <v>0</v>
      </c>
      <c r="E13" s="415">
        <f>'C4-FinPerf RE'!F27</f>
        <v>1609174.06</v>
      </c>
      <c r="F13" s="415">
        <f>'C4-FinPerf RE'!G27</f>
        <v>10512437.270000001</v>
      </c>
      <c r="G13" s="664">
        <f>'C4-FinPerf RE'!H27</f>
        <v>24073709</v>
      </c>
      <c r="H13" s="415">
        <f t="shared" si="1"/>
        <v>-13561271.729999999</v>
      </c>
      <c r="I13" s="208">
        <f t="shared" si="2"/>
        <v>-0.56332290674444885</v>
      </c>
      <c r="J13" s="656">
        <f>'C4-FinPerf RE'!K27</f>
        <v>24073709</v>
      </c>
    </row>
    <row r="14" spans="1:10" ht="12.75" customHeight="1">
      <c r="A14" s="595" t="s">
        <v>818</v>
      </c>
      <c r="B14" s="662">
        <f>'C4-FinPerf RE'!C29</f>
        <v>0</v>
      </c>
      <c r="C14" s="663">
        <f>'C4-FinPerf RE'!D29</f>
        <v>49000000</v>
      </c>
      <c r="D14" s="415">
        <f>'C4-FinPerf RE'!E29</f>
        <v>0</v>
      </c>
      <c r="E14" s="415">
        <f>'C4-FinPerf RE'!F29</f>
        <v>0</v>
      </c>
      <c r="F14" s="415">
        <f>'C4-FinPerf RE'!G29</f>
        <v>0</v>
      </c>
      <c r="G14" s="664">
        <f>'C4-FinPerf RE'!H29</f>
        <v>49000000</v>
      </c>
      <c r="H14" s="415">
        <f t="shared" si="1"/>
        <v>-49000000</v>
      </c>
      <c r="I14" s="208">
        <f t="shared" si="2"/>
        <v>-1</v>
      </c>
      <c r="J14" s="656">
        <f>'C4-FinPerf RE'!K29</f>
        <v>49000000</v>
      </c>
    </row>
    <row r="15" spans="1:10" ht="12.75" customHeight="1">
      <c r="A15" s="153" t="s">
        <v>563</v>
      </c>
      <c r="B15" s="662">
        <f>'C4-FinPerf RE'!C30</f>
        <v>0</v>
      </c>
      <c r="C15" s="663">
        <f>'C4-FinPerf RE'!D30</f>
        <v>16000000</v>
      </c>
      <c r="D15" s="415">
        <f>'C4-FinPerf RE'!E30</f>
        <v>0</v>
      </c>
      <c r="E15" s="415">
        <f>'C4-FinPerf RE'!F30</f>
        <v>265621.12</v>
      </c>
      <c r="F15" s="415">
        <f>'C4-FinPerf RE'!G30</f>
        <v>3869703.45</v>
      </c>
      <c r="G15" s="664">
        <f>'C4-FinPerf RE'!H30</f>
        <v>16000000</v>
      </c>
      <c r="H15" s="415">
        <f t="shared" si="1"/>
        <v>-12130296.550000001</v>
      </c>
      <c r="I15" s="208">
        <f t="shared" si="2"/>
        <v>-0.75814353437500004</v>
      </c>
      <c r="J15" s="656">
        <f>'C4-FinPerf RE'!K30</f>
        <v>16000000</v>
      </c>
    </row>
    <row r="16" spans="1:10" ht="12.75" customHeight="1">
      <c r="A16" s="153" t="s">
        <v>613</v>
      </c>
      <c r="B16" s="662">
        <f>SUM('C4-FinPerf RE'!C31:C32)</f>
        <v>0</v>
      </c>
      <c r="C16" s="663">
        <f>SUM('C4-FinPerf RE'!D31:D32)</f>
        <v>310920000</v>
      </c>
      <c r="D16" s="415">
        <f>SUM('C4-FinPerf RE'!E31:E32)</f>
        <v>0</v>
      </c>
      <c r="E16" s="415">
        <f>SUM('C4-FinPerf RE'!F31:F32)</f>
        <v>10964912.280000001</v>
      </c>
      <c r="F16" s="415">
        <f>SUM('C4-FinPerf RE'!G31:G32)</f>
        <v>173208184.73000002</v>
      </c>
      <c r="G16" s="664">
        <f>SUM('C4-FinPerf RE'!H31:H32)</f>
        <v>310920000</v>
      </c>
      <c r="H16" s="415">
        <f t="shared" si="1"/>
        <v>-137711815.26999998</v>
      </c>
      <c r="I16" s="605">
        <f t="shared" si="2"/>
        <v>-0.44291719821819109</v>
      </c>
      <c r="J16" s="656">
        <f>SUM('C4-FinPerf RE'!K31:K32)</f>
        <v>310920000</v>
      </c>
    </row>
    <row r="17" spans="1:11" ht="12.75" customHeight="1">
      <c r="A17" s="595" t="s">
        <v>141</v>
      </c>
      <c r="B17" s="662">
        <f>'C4-FinPerf RE'!C34</f>
        <v>0</v>
      </c>
      <c r="C17" s="663">
        <f>'C4-FinPerf RE'!D34</f>
        <v>77723300</v>
      </c>
      <c r="D17" s="415">
        <f>'C4-FinPerf RE'!E34</f>
        <v>0</v>
      </c>
      <c r="E17" s="415">
        <f>'C4-FinPerf RE'!F34</f>
        <v>638416.67000000004</v>
      </c>
      <c r="F17" s="415">
        <f>'C4-FinPerf RE'!G34</f>
        <v>39221917.020000003</v>
      </c>
      <c r="G17" s="664">
        <f>'C4-FinPerf RE'!H34</f>
        <v>77723300</v>
      </c>
      <c r="H17" s="415">
        <f t="shared" si="1"/>
        <v>-38501382.979999997</v>
      </c>
      <c r="I17" s="208"/>
      <c r="J17" s="656">
        <f>'C4-FinPerf RE'!K34</f>
        <v>77723300</v>
      </c>
    </row>
    <row r="18" spans="1:11" ht="12.75" customHeight="1">
      <c r="A18" s="153" t="s">
        <v>543</v>
      </c>
      <c r="B18" s="662">
        <f>'C4-FinPerf RE'!C37-SUM('C1-Sum'!B12:B17)</f>
        <v>0</v>
      </c>
      <c r="C18" s="663">
        <f>'C4-FinPerf RE'!D37-SUM('C1-Sum'!C12:C17)</f>
        <v>400331071.37000012</v>
      </c>
      <c r="D18" s="415">
        <f>'C4-FinPerf RE'!E37-SUM('C1-Sum'!D12:D17)</f>
        <v>0</v>
      </c>
      <c r="E18" s="415">
        <f>'C4-FinPerf RE'!F37-SUM('C1-Sum'!E12:E17)</f>
        <v>29033954.420000002</v>
      </c>
      <c r="F18" s="415">
        <f>'C4-FinPerf RE'!G37-SUM('C1-Sum'!F12:F17)</f>
        <v>227539017.7100001</v>
      </c>
      <c r="G18" s="664">
        <f>'C4-FinPerf RE'!H37-SUM('C1-Sum'!G12:G17)</f>
        <v>400331071.37000012</v>
      </c>
      <c r="H18" s="415">
        <f t="shared" si="1"/>
        <v>-172792053.66000003</v>
      </c>
      <c r="I18" s="208">
        <f t="shared" si="2"/>
        <v>-0.43162288919687553</v>
      </c>
      <c r="J18" s="656">
        <f>'C4-FinPerf RE'!K37-SUM('C1-Sum'!J12:J17)</f>
        <v>400331071.37000012</v>
      </c>
    </row>
    <row r="19" spans="1:11" ht="12.75" customHeight="1">
      <c r="A19" s="597" t="s">
        <v>602</v>
      </c>
      <c r="B19" s="674">
        <f t="shared" ref="B19:G19" si="3">SUM(B12:B18)</f>
        <v>0</v>
      </c>
      <c r="C19" s="675">
        <f t="shared" si="3"/>
        <v>1153147766.8600001</v>
      </c>
      <c r="D19" s="676">
        <f t="shared" si="3"/>
        <v>0</v>
      </c>
      <c r="E19" s="676">
        <f t="shared" si="3"/>
        <v>63789263.220000006</v>
      </c>
      <c r="F19" s="676">
        <f t="shared" si="3"/>
        <v>599219000.3900001</v>
      </c>
      <c r="G19" s="677">
        <f t="shared" si="3"/>
        <v>1153147766.8600001</v>
      </c>
      <c r="H19" s="676">
        <f t="shared" si="1"/>
        <v>-553928766.47000003</v>
      </c>
      <c r="I19" s="389">
        <f t="shared" si="2"/>
        <v>-0.48036234591021904</v>
      </c>
      <c r="J19" s="678">
        <f>SUM(J12:J18)</f>
        <v>1153147766.8600001</v>
      </c>
    </row>
    <row r="20" spans="1:11" ht="12.75" customHeight="1">
      <c r="A20" s="154" t="s">
        <v>603</v>
      </c>
      <c r="B20" s="679">
        <f t="shared" ref="B20:G20" si="4">B11-B19</f>
        <v>0</v>
      </c>
      <c r="C20" s="680">
        <f t="shared" si="4"/>
        <v>617711.17999982834</v>
      </c>
      <c r="D20" s="651">
        <f t="shared" si="4"/>
        <v>0</v>
      </c>
      <c r="E20" s="651">
        <f t="shared" si="4"/>
        <v>-20324489.219999999</v>
      </c>
      <c r="F20" s="651">
        <f t="shared" si="4"/>
        <v>10353957.189999938</v>
      </c>
      <c r="G20" s="681">
        <f t="shared" si="4"/>
        <v>617711.17999982834</v>
      </c>
      <c r="H20" s="651">
        <f t="shared" si="1"/>
        <v>9736246.0100001097</v>
      </c>
      <c r="I20" s="207">
        <f t="shared" si="2"/>
        <v>15.761809604939991</v>
      </c>
      <c r="J20" s="655">
        <f>J11-J19</f>
        <v>17744711.179999828</v>
      </c>
    </row>
    <row r="21" spans="1:11" ht="12.75" customHeight="1">
      <c r="A21" s="153" t="s">
        <v>1151</v>
      </c>
      <c r="B21" s="662">
        <f>'C4-FinPerf RE'!C40</f>
        <v>0</v>
      </c>
      <c r="C21" s="663">
        <f>'C4-FinPerf RE'!D40</f>
        <v>394023759</v>
      </c>
      <c r="D21" s="415">
        <f>'C4-FinPerf RE'!E40</f>
        <v>0</v>
      </c>
      <c r="E21" s="415">
        <f>'C4-FinPerf RE'!F40</f>
        <v>9754095.379999999</v>
      </c>
      <c r="F21" s="415">
        <f>'C4-FinPerf RE'!G40</f>
        <v>124425351.55000001</v>
      </c>
      <c r="G21" s="664">
        <f>'C4-FinPerf RE'!H40</f>
        <v>394023759</v>
      </c>
      <c r="H21" s="415">
        <f t="shared" si="1"/>
        <v>-269598407.44999999</v>
      </c>
      <c r="I21" s="208">
        <f t="shared" si="2"/>
        <v>-0.68421865761145639</v>
      </c>
      <c r="J21" s="656">
        <f>'C4-FinPerf RE'!K40</f>
        <v>394023759</v>
      </c>
    </row>
    <row r="22" spans="1:11" ht="12.75" customHeight="1">
      <c r="A22" s="153" t="s">
        <v>1093</v>
      </c>
      <c r="B22" s="665">
        <f>SUM('C4-FinPerf RE'!C41:C42)</f>
        <v>0</v>
      </c>
      <c r="C22" s="666">
        <f>SUM('C4-FinPerf RE'!D41:D42)</f>
        <v>0</v>
      </c>
      <c r="D22" s="416">
        <f>SUM('C4-FinPerf RE'!E41:E42)</f>
        <v>0</v>
      </c>
      <c r="E22" s="416">
        <f>SUM('C4-FinPerf RE'!F41:F42)</f>
        <v>0</v>
      </c>
      <c r="F22" s="416">
        <f>SUM('C4-FinPerf RE'!G41:G42)</f>
        <v>0</v>
      </c>
      <c r="G22" s="667">
        <f>SUM('C4-FinPerf RE'!H41:H42)</f>
        <v>0</v>
      </c>
      <c r="H22" s="416">
        <f t="shared" si="1"/>
        <v>0</v>
      </c>
      <c r="I22" s="209" t="str">
        <f t="shared" si="2"/>
        <v/>
      </c>
      <c r="J22" s="668">
        <f>SUM('C4-FinPerf RE'!K41:K42)</f>
        <v>0</v>
      </c>
    </row>
    <row r="23" spans="1:11" ht="25.5">
      <c r="A23" s="351" t="s">
        <v>925</v>
      </c>
      <c r="B23" s="669">
        <f t="shared" ref="B23:G23" si="5">B20+B21+B22</f>
        <v>0</v>
      </c>
      <c r="C23" s="670">
        <f t="shared" si="5"/>
        <v>394641470.17999983</v>
      </c>
      <c r="D23" s="671">
        <f t="shared" si="5"/>
        <v>0</v>
      </c>
      <c r="E23" s="671">
        <f t="shared" si="5"/>
        <v>-10570393.84</v>
      </c>
      <c r="F23" s="671">
        <f t="shared" si="5"/>
        <v>134779308.73999995</v>
      </c>
      <c r="G23" s="672">
        <f t="shared" si="5"/>
        <v>394641470.17999983</v>
      </c>
      <c r="H23" s="671">
        <f t="shared" si="1"/>
        <v>-259862161.43999988</v>
      </c>
      <c r="I23" s="606">
        <f t="shared" si="2"/>
        <v>-0.65847656943269095</v>
      </c>
      <c r="J23" s="673">
        <f>J20+J21+J22</f>
        <v>411768470.17999983</v>
      </c>
    </row>
    <row r="24" spans="1:11" ht="12.75" customHeight="1">
      <c r="A24" s="352" t="s">
        <v>592</v>
      </c>
      <c r="B24" s="662">
        <f>'C4-FinPerf RE'!C48</f>
        <v>0</v>
      </c>
      <c r="C24" s="663">
        <f>'C4-FinPerf RE'!D48</f>
        <v>0</v>
      </c>
      <c r="D24" s="415">
        <f>'C4-FinPerf RE'!E48</f>
        <v>0</v>
      </c>
      <c r="E24" s="415">
        <f>'C4-FinPerf RE'!F48</f>
        <v>0</v>
      </c>
      <c r="F24" s="415">
        <f>'C4-FinPerf RE'!G48</f>
        <v>0</v>
      </c>
      <c r="G24" s="664">
        <f>'C4-FinPerf RE'!H48</f>
        <v>0</v>
      </c>
      <c r="H24" s="415">
        <f t="shared" si="1"/>
        <v>0</v>
      </c>
      <c r="I24" s="208" t="str">
        <f t="shared" si="2"/>
        <v/>
      </c>
      <c r="J24" s="656">
        <f>'C4-FinPerf RE'!K48</f>
        <v>0</v>
      </c>
    </row>
    <row r="25" spans="1:11" ht="12.75" customHeight="1">
      <c r="A25" s="351" t="s">
        <v>1080</v>
      </c>
      <c r="B25" s="679">
        <f t="shared" ref="B25:G25" si="6">B23+B24</f>
        <v>0</v>
      </c>
      <c r="C25" s="680">
        <f t="shared" si="6"/>
        <v>394641470.17999983</v>
      </c>
      <c r="D25" s="651">
        <f t="shared" si="6"/>
        <v>0</v>
      </c>
      <c r="E25" s="651">
        <f t="shared" si="6"/>
        <v>-10570393.84</v>
      </c>
      <c r="F25" s="651">
        <f t="shared" si="6"/>
        <v>134779308.73999995</v>
      </c>
      <c r="G25" s="681">
        <f t="shared" si="6"/>
        <v>394641470.17999983</v>
      </c>
      <c r="H25" s="651">
        <f t="shared" si="1"/>
        <v>-259862161.43999988</v>
      </c>
      <c r="I25" s="207">
        <f t="shared" si="2"/>
        <v>-0.65847656943269095</v>
      </c>
      <c r="J25" s="655">
        <f>J23+J24</f>
        <v>411768470.17999983</v>
      </c>
    </row>
    <row r="26" spans="1:11" ht="5.0999999999999996" customHeight="1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>
      <c r="A27" s="152" t="s">
        <v>1117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>
      <c r="A28" s="154" t="s">
        <v>730</v>
      </c>
      <c r="B28" s="674">
        <f>'C5-Capex'!C40</f>
        <v>0</v>
      </c>
      <c r="C28" s="675">
        <f>'C5-Capex'!D40</f>
        <v>394023759</v>
      </c>
      <c r="D28" s="676">
        <f>'C5-Capex'!E40</f>
        <v>0</v>
      </c>
      <c r="E28" s="676">
        <f>'C5-Capex'!F40</f>
        <v>9754095.3800000008</v>
      </c>
      <c r="F28" s="676">
        <f>'C5-Capex'!G40</f>
        <v>124425351.55000001</v>
      </c>
      <c r="G28" s="677">
        <f>'C5-Capex'!H40</f>
        <v>394023759</v>
      </c>
      <c r="H28" s="676">
        <f t="shared" ref="H28:H33" si="7">F28-G28</f>
        <v>-269598407.44999999</v>
      </c>
      <c r="I28" s="389">
        <f t="shared" ref="I28:I33" si="8">IF(H28=0,"",H28/G28)</f>
        <v>-0.68421865761145639</v>
      </c>
      <c r="J28" s="678">
        <f>'C5-Capex'!K40</f>
        <v>394023759</v>
      </c>
    </row>
    <row r="29" spans="1:11" ht="12.75" customHeight="1">
      <c r="A29" s="153" t="s">
        <v>626</v>
      </c>
      <c r="B29" s="662">
        <f>'C5-Capex'!C70</f>
        <v>0</v>
      </c>
      <c r="C29" s="663">
        <f>'C5-Capex'!D70</f>
        <v>273523759</v>
      </c>
      <c r="D29" s="415">
        <f>'C5-Capex'!E70</f>
        <v>0</v>
      </c>
      <c r="E29" s="415">
        <f>'C5-Capex'!F70</f>
        <v>9754095.379999999</v>
      </c>
      <c r="F29" s="415">
        <f>'C5-Capex'!G70</f>
        <v>123430055.92000002</v>
      </c>
      <c r="G29" s="664">
        <f>'C5-Capex'!H70</f>
        <v>273523759</v>
      </c>
      <c r="H29" s="415">
        <f t="shared" si="7"/>
        <v>-150093703.07999998</v>
      </c>
      <c r="I29" s="605">
        <f t="shared" si="8"/>
        <v>-0.54874100746765475</v>
      </c>
      <c r="J29" s="656">
        <f>'C5-Capex'!K70</f>
        <v>273523759</v>
      </c>
      <c r="K29" s="157"/>
    </row>
    <row r="30" spans="1:11" ht="12.75" customHeight="1">
      <c r="A30" s="153" t="s">
        <v>591</v>
      </c>
      <c r="B30" s="662">
        <f>'C5-Capex'!C71</f>
        <v>0</v>
      </c>
      <c r="C30" s="663">
        <f>'C5-Capex'!D71</f>
        <v>0</v>
      </c>
      <c r="D30" s="415">
        <f>'C5-Capex'!E71</f>
        <v>0</v>
      </c>
      <c r="E30" s="415">
        <f>'C5-Capex'!F71</f>
        <v>0</v>
      </c>
      <c r="F30" s="415">
        <f>'C5-Capex'!G71</f>
        <v>0</v>
      </c>
      <c r="G30" s="664">
        <f>'C5-Capex'!H71</f>
        <v>0</v>
      </c>
      <c r="H30" s="415">
        <f t="shared" si="7"/>
        <v>0</v>
      </c>
      <c r="I30" s="208" t="str">
        <f t="shared" si="8"/>
        <v/>
      </c>
      <c r="J30" s="656">
        <f>'C5-Capex'!K71</f>
        <v>0</v>
      </c>
      <c r="K30" s="157"/>
    </row>
    <row r="31" spans="1:11" ht="12.75" customHeight="1">
      <c r="A31" s="153" t="s">
        <v>953</v>
      </c>
      <c r="B31" s="662">
        <f>'C5-Capex'!C72</f>
        <v>0</v>
      </c>
      <c r="C31" s="663">
        <f>'C5-Capex'!D72</f>
        <v>98000000</v>
      </c>
      <c r="D31" s="415">
        <f>'C5-Capex'!E72</f>
        <v>0</v>
      </c>
      <c r="E31" s="415">
        <f>'C5-Capex'!F72</f>
        <v>0</v>
      </c>
      <c r="F31" s="415">
        <f>'C5-Capex'!G72</f>
        <v>995295.62999999989</v>
      </c>
      <c r="G31" s="664">
        <f>'C5-Capex'!H72</f>
        <v>98000000</v>
      </c>
      <c r="H31" s="415">
        <f t="shared" si="7"/>
        <v>-97004704.370000005</v>
      </c>
      <c r="I31" s="208">
        <f t="shared" si="8"/>
        <v>-0.98984392214285721</v>
      </c>
      <c r="J31" s="656">
        <f>'C5-Capex'!K72</f>
        <v>98000000</v>
      </c>
      <c r="K31" s="157"/>
    </row>
    <row r="32" spans="1:11" ht="12.75" customHeight="1">
      <c r="A32" s="153" t="s">
        <v>585</v>
      </c>
      <c r="B32" s="674">
        <f>'C5-Capex'!C73</f>
        <v>0</v>
      </c>
      <c r="C32" s="675">
        <f>'C5-Capex'!D73</f>
        <v>22500000</v>
      </c>
      <c r="D32" s="676">
        <f>'C5-Capex'!E73</f>
        <v>0</v>
      </c>
      <c r="E32" s="676">
        <f>'C5-Capex'!F73</f>
        <v>0</v>
      </c>
      <c r="F32" s="676">
        <f>'C5-Capex'!G73</f>
        <v>0</v>
      </c>
      <c r="G32" s="677">
        <f>'C5-Capex'!H73</f>
        <v>22500000</v>
      </c>
      <c r="H32" s="676">
        <f t="shared" si="7"/>
        <v>-22500000</v>
      </c>
      <c r="I32" s="389">
        <f t="shared" si="8"/>
        <v>-1</v>
      </c>
      <c r="J32" s="678">
        <f>'C5-Capex'!K73</f>
        <v>22500000</v>
      </c>
      <c r="K32" s="157"/>
    </row>
    <row r="33" spans="1:10" ht="12.75" customHeight="1">
      <c r="A33" s="597" t="s">
        <v>171</v>
      </c>
      <c r="B33" s="682">
        <f t="shared" ref="B33:J33" si="9">SUM(B29:B32)</f>
        <v>0</v>
      </c>
      <c r="C33" s="627">
        <f t="shared" si="9"/>
        <v>394023759</v>
      </c>
      <c r="D33" s="625">
        <f t="shared" si="9"/>
        <v>0</v>
      </c>
      <c r="E33" s="625">
        <f>SUM(E29:E32)</f>
        <v>9754095.379999999</v>
      </c>
      <c r="F33" s="625">
        <f>SUM(F29:F32)</f>
        <v>124425351.55000001</v>
      </c>
      <c r="G33" s="626">
        <f>SUM(G29:G32)</f>
        <v>394023759</v>
      </c>
      <c r="H33" s="625">
        <f t="shared" si="7"/>
        <v>-269598407.44999999</v>
      </c>
      <c r="I33" s="608">
        <f t="shared" si="8"/>
        <v>-0.68421865761145639</v>
      </c>
      <c r="J33" s="628">
        <f t="shared" si="9"/>
        <v>394023759</v>
      </c>
    </row>
    <row r="34" spans="1:10" ht="5.0999999999999996" customHeight="1">
      <c r="A34" s="353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>
      <c r="A35" s="156" t="s">
        <v>610</v>
      </c>
      <c r="B35" s="198"/>
      <c r="C35" s="197"/>
      <c r="D35" s="30"/>
      <c r="E35" s="218"/>
      <c r="F35" s="30"/>
      <c r="G35" s="218"/>
      <c r="H35" s="218"/>
      <c r="I35" s="220"/>
      <c r="J35" s="202"/>
    </row>
    <row r="36" spans="1:10" ht="12.75" customHeight="1">
      <c r="A36" s="153" t="s">
        <v>785</v>
      </c>
      <c r="B36" s="662">
        <f>'C6-FinPos'!C13</f>
        <v>0</v>
      </c>
      <c r="C36" s="663">
        <f>'C6-FinPos'!D13</f>
        <v>945464000</v>
      </c>
      <c r="D36" s="415">
        <f>'C6-FinPos'!E13</f>
        <v>0</v>
      </c>
      <c r="E36" s="218"/>
      <c r="F36" s="415">
        <f>'C6-FinPos'!F13</f>
        <v>0</v>
      </c>
      <c r="G36" s="218"/>
      <c r="H36" s="218"/>
      <c r="I36" s="220"/>
      <c r="J36" s="656">
        <f>'C6-FinPos'!G13</f>
        <v>945464000</v>
      </c>
    </row>
    <row r="37" spans="1:10" ht="12.75" customHeight="1">
      <c r="A37" s="153" t="s">
        <v>784</v>
      </c>
      <c r="B37" s="662">
        <f>'C6-FinPos'!C25</f>
        <v>0</v>
      </c>
      <c r="C37" s="663">
        <f>'C6-FinPos'!D25</f>
        <v>232356000</v>
      </c>
      <c r="D37" s="415">
        <f>'C6-FinPos'!E25</f>
        <v>0</v>
      </c>
      <c r="E37" s="218"/>
      <c r="F37" s="415">
        <f>'C6-FinPos'!F25</f>
        <v>0</v>
      </c>
      <c r="G37" s="218"/>
      <c r="H37" s="218"/>
      <c r="I37" s="220"/>
      <c r="J37" s="656">
        <f>'C6-FinPos'!G25</f>
        <v>232356000</v>
      </c>
    </row>
    <row r="38" spans="1:10" ht="12.75" customHeight="1">
      <c r="A38" s="153" t="s">
        <v>570</v>
      </c>
      <c r="B38" s="662">
        <f>'C6-FinPos'!C35</f>
        <v>0</v>
      </c>
      <c r="C38" s="663">
        <f>'C6-FinPos'!D35</f>
        <v>192491000</v>
      </c>
      <c r="D38" s="415">
        <f>'C6-FinPos'!E35</f>
        <v>0</v>
      </c>
      <c r="E38" s="218"/>
      <c r="F38" s="415">
        <f>'C6-FinPos'!F35</f>
        <v>0</v>
      </c>
      <c r="G38" s="218"/>
      <c r="H38" s="218"/>
      <c r="I38" s="220"/>
      <c r="J38" s="656">
        <f>'C6-FinPos'!G35</f>
        <v>192491000</v>
      </c>
    </row>
    <row r="39" spans="1:10" ht="12.75" customHeight="1">
      <c r="A39" s="153" t="s">
        <v>569</v>
      </c>
      <c r="B39" s="662">
        <f>'C6-FinPos'!C40</f>
        <v>0</v>
      </c>
      <c r="C39" s="663">
        <f>'C6-FinPos'!D40</f>
        <v>16582000</v>
      </c>
      <c r="D39" s="415">
        <f>'C6-FinPos'!E40</f>
        <v>0</v>
      </c>
      <c r="E39" s="218"/>
      <c r="F39" s="415">
        <f>'C6-FinPos'!F40</f>
        <v>0</v>
      </c>
      <c r="G39" s="218"/>
      <c r="H39" s="218"/>
      <c r="I39" s="220"/>
      <c r="J39" s="656">
        <f>'C6-FinPos'!G40</f>
        <v>16582000</v>
      </c>
    </row>
    <row r="40" spans="1:10" ht="12.75" customHeight="1">
      <c r="A40" s="597" t="s">
        <v>170</v>
      </c>
      <c r="B40" s="679">
        <f>'C6-FinPos'!C48</f>
        <v>0</v>
      </c>
      <c r="C40" s="680">
        <f>'C6-FinPos'!D48</f>
        <v>968747000</v>
      </c>
      <c r="D40" s="651">
        <f>'C6-FinPos'!E48</f>
        <v>0</v>
      </c>
      <c r="E40" s="609"/>
      <c r="F40" s="651">
        <f>'C6-FinPos'!F48</f>
        <v>0</v>
      </c>
      <c r="G40" s="609"/>
      <c r="H40" s="609"/>
      <c r="I40" s="610"/>
      <c r="J40" s="655">
        <f>'C6-FinPos'!G48</f>
        <v>968747000</v>
      </c>
    </row>
    <row r="41" spans="1:10" ht="5.0999999999999996" customHeight="1">
      <c r="A41" s="155"/>
      <c r="B41" s="210"/>
      <c r="C41" s="211"/>
      <c r="D41" s="33"/>
      <c r="E41" s="219"/>
      <c r="F41" s="33"/>
      <c r="G41" s="219"/>
      <c r="H41" s="219"/>
      <c r="I41" s="221"/>
      <c r="J41" s="213"/>
    </row>
    <row r="42" spans="1:10" ht="12.75" customHeight="1">
      <c r="A42" s="152" t="s">
        <v>611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>
      <c r="A43" s="153" t="s">
        <v>802</v>
      </c>
      <c r="B43" s="662">
        <f>'C7-CFlow'!C16</f>
        <v>0</v>
      </c>
      <c r="C43" s="663">
        <f>'C7-CFlow'!D16</f>
        <v>274141015.19000006</v>
      </c>
      <c r="D43" s="415">
        <f>'C7-CFlow'!E16</f>
        <v>0</v>
      </c>
      <c r="E43" s="415">
        <f>'C7-CFlow'!F16</f>
        <v>7915705.7100000009</v>
      </c>
      <c r="F43" s="415">
        <f>'C7-CFlow'!G16</f>
        <v>-68648548.850000024</v>
      </c>
      <c r="G43" s="664">
        <f>'C7-CFlow'!H16</f>
        <v>0</v>
      </c>
      <c r="H43" s="415">
        <f>F43-G43</f>
        <v>-68648548.850000024</v>
      </c>
      <c r="I43" s="208" t="e">
        <f>IF(H43=0,"",H43/G43)</f>
        <v>#DIV/0!</v>
      </c>
      <c r="J43" s="656">
        <f>'C7-CFlow'!K16</f>
        <v>274141015.19000006</v>
      </c>
    </row>
    <row r="44" spans="1:10" ht="12.75" customHeight="1">
      <c r="A44" s="153" t="s">
        <v>803</v>
      </c>
      <c r="B44" s="662">
        <f>'C7-CFlow'!C26</f>
        <v>0</v>
      </c>
      <c r="C44" s="663">
        <f>'C7-CFlow'!D26</f>
        <v>19051000</v>
      </c>
      <c r="D44" s="415">
        <f>'C7-CFlow'!E26</f>
        <v>19051201</v>
      </c>
      <c r="E44" s="415">
        <f>'C7-CFlow'!F26</f>
        <v>0</v>
      </c>
      <c r="F44" s="415">
        <f>'C7-CFlow'!G26</f>
        <v>0</v>
      </c>
      <c r="G44" s="664">
        <f>'C7-CFlow'!H26</f>
        <v>19051201</v>
      </c>
      <c r="H44" s="415">
        <f>F44-G44</f>
        <v>-19051201</v>
      </c>
      <c r="I44" s="208">
        <f>IF(H44=0,"",H44/G44)</f>
        <v>-1</v>
      </c>
      <c r="J44" s="656">
        <f>'C7-CFlow'!K26</f>
        <v>19051201</v>
      </c>
    </row>
    <row r="45" spans="1:10" ht="12.75" customHeight="1">
      <c r="A45" s="153" t="s">
        <v>801</v>
      </c>
      <c r="B45" s="662">
        <f>'C7-CFlow'!C35</f>
        <v>0</v>
      </c>
      <c r="C45" s="663">
        <f>'C7-CFlow'!D35</f>
        <v>-190215000</v>
      </c>
      <c r="D45" s="415">
        <f>'C7-CFlow'!E35</f>
        <v>-190215000</v>
      </c>
      <c r="E45" s="415">
        <f>'C7-CFlow'!F35</f>
        <v>0</v>
      </c>
      <c r="F45" s="415">
        <f>'C7-CFlow'!G35</f>
        <v>0</v>
      </c>
      <c r="G45" s="664">
        <f>'C7-CFlow'!H35</f>
        <v>-190215000</v>
      </c>
      <c r="H45" s="415">
        <f>F45-G45</f>
        <v>190215000</v>
      </c>
      <c r="I45" s="208">
        <f>IF(H45=0,"",H45/G45)</f>
        <v>-1</v>
      </c>
      <c r="J45" s="656">
        <f>'C7-CFlow'!K35</f>
        <v>-190215000</v>
      </c>
    </row>
    <row r="46" spans="1:10" ht="12.75" customHeight="1">
      <c r="A46" s="154" t="s">
        <v>59</v>
      </c>
      <c r="B46" s="679">
        <f>'C7-CFlow'!C39</f>
        <v>0</v>
      </c>
      <c r="C46" s="680">
        <f>'C7-CFlow'!D39</f>
        <v>116333015.19000006</v>
      </c>
      <c r="D46" s="651">
        <f>'C7-CFlow'!E39</f>
        <v>-157808121</v>
      </c>
      <c r="E46" s="651">
        <f>'C7-CFlow'!F39</f>
        <v>0</v>
      </c>
      <c r="F46" s="651">
        <f>'C7-CFlow'!G39</f>
        <v>-68648548.850000024</v>
      </c>
      <c r="G46" s="681">
        <f>'C7-CFlow'!H39</f>
        <v>-157807799</v>
      </c>
      <c r="H46" s="651">
        <f>F46-G46</f>
        <v>89159250.149999976</v>
      </c>
      <c r="I46" s="207">
        <f>IF(H46=0,"",H46/G46)</f>
        <v>-0.56498633600485093</v>
      </c>
      <c r="J46" s="655">
        <f>'C7-CFlow'!K39</f>
        <v>102977216.19000006</v>
      </c>
    </row>
    <row r="47" spans="1:10" ht="5.0999999999999996" customHeight="1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>
      <c r="A48" s="159" t="s">
        <v>1120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61</v>
      </c>
    </row>
    <row r="49" spans="1:10" ht="12.75" customHeight="1">
      <c r="A49" s="349" t="str">
        <f>LEFT('SC3'!A5,20)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>
      <c r="A50" s="173" t="str">
        <f>'SC3'!A13</f>
        <v>Total By Revenue Source</v>
      </c>
      <c r="B50" s="662">
        <f>'SC3'!C13</f>
        <v>63284037.159999996</v>
      </c>
      <c r="C50" s="663">
        <f>'SC3'!D13</f>
        <v>22992099.169999998</v>
      </c>
      <c r="D50" s="415">
        <f>'SC3'!E13</f>
        <v>621393166.86000013</v>
      </c>
      <c r="E50" s="415">
        <f>'SC3'!F13</f>
        <v>0</v>
      </c>
      <c r="F50" s="415">
        <f>'SC3'!G13</f>
        <v>0</v>
      </c>
      <c r="G50" s="664">
        <f>'SC3'!H13</f>
        <v>0</v>
      </c>
      <c r="H50" s="415">
        <f>'SC3'!I13</f>
        <v>0</v>
      </c>
      <c r="I50" s="207">
        <f>'SC3'!J13</f>
        <v>0</v>
      </c>
      <c r="J50" s="656">
        <f>'SC3'!K13</f>
        <v>707669303.18999994</v>
      </c>
    </row>
    <row r="51" spans="1:10" ht="12.75" customHeight="1">
      <c r="A51" s="349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>
      <c r="A52" s="173" t="s">
        <v>567</v>
      </c>
      <c r="B52" s="662">
        <f>'SC4'!C15</f>
        <v>19993252</v>
      </c>
      <c r="C52" s="663">
        <f>'SC4'!D15</f>
        <v>0</v>
      </c>
      <c r="D52" s="415">
        <f>'SC4'!E15</f>
        <v>0</v>
      </c>
      <c r="E52" s="415">
        <f>'SC4'!F15</f>
        <v>0</v>
      </c>
      <c r="F52" s="415">
        <f>'SC4'!G15</f>
        <v>0</v>
      </c>
      <c r="G52" s="664">
        <f>'SC4'!H15</f>
        <v>0</v>
      </c>
      <c r="H52" s="415">
        <f>'SC4'!I15</f>
        <v>0</v>
      </c>
      <c r="I52" s="207">
        <f>'SC4'!J15</f>
        <v>0</v>
      </c>
      <c r="J52" s="656">
        <f>'SC4'!K15</f>
        <v>19993252</v>
      </c>
    </row>
    <row r="53" spans="1:10" ht="12.75" customHeight="1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>
      <c r="A54" s="97"/>
      <c r="B54" s="291"/>
      <c r="C54" s="291"/>
      <c r="D54" s="291"/>
      <c r="E54" s="291"/>
      <c r="F54" s="291"/>
      <c r="G54" s="291"/>
      <c r="H54" s="291"/>
      <c r="I54" s="292"/>
      <c r="J54" s="291"/>
    </row>
    <row r="55" spans="1:10">
      <c r="A55" s="975"/>
      <c r="B55" s="975"/>
      <c r="C55" s="975"/>
      <c r="D55" s="975"/>
      <c r="E55" s="975"/>
      <c r="F55" s="975"/>
      <c r="G55" s="975"/>
      <c r="H55" s="975"/>
      <c r="I55" s="975"/>
      <c r="J55" s="975"/>
    </row>
    <row r="56" spans="1:10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K61" sqref="K61"/>
    </sheetView>
  </sheetViews>
  <sheetFormatPr defaultRowHeight="12.7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>
      <c r="A1" s="985" t="str">
        <f>muni&amp; " - "&amp;S71A&amp; " - "&amp;date</f>
        <v>FS194 Maluti-a-Phofung - Table C2 Consolidated Monthly Budget Statement - Financial Performance (standard classification)  - M07 January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8">
      <c r="A2" s="983" t="str">
        <f>desc</f>
        <v>Description</v>
      </c>
      <c r="B2" s="981" t="str">
        <f>head27</f>
        <v>Ref</v>
      </c>
      <c r="C2" s="24" t="str">
        <f>Head1</f>
        <v>2012/13</v>
      </c>
      <c r="D2" s="232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8" ht="25.5">
      <c r="A3" s="984"/>
      <c r="B3" s="98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>
      <c r="A4" s="35" t="s">
        <v>821</v>
      </c>
      <c r="B4" s="432">
        <v>1</v>
      </c>
      <c r="C4" s="430"/>
      <c r="D4" s="241"/>
      <c r="E4" s="242"/>
      <c r="F4" s="83"/>
      <c r="G4" s="83"/>
      <c r="H4" s="83"/>
      <c r="I4" s="83"/>
      <c r="J4" s="243" t="s">
        <v>723</v>
      </c>
      <c r="K4" s="224"/>
    </row>
    <row r="5" spans="1:18" ht="12.75" customHeight="1">
      <c r="A5" s="36" t="s">
        <v>922</v>
      </c>
      <c r="B5" s="433"/>
      <c r="C5" s="227"/>
      <c r="D5" s="439"/>
      <c r="E5" s="239"/>
      <c r="F5" s="239"/>
      <c r="G5" s="239"/>
      <c r="H5" s="239"/>
      <c r="I5" s="239"/>
      <c r="J5" s="239"/>
      <c r="K5" s="240"/>
      <c r="L5" s="101"/>
    </row>
    <row r="6" spans="1:18" ht="12.75" customHeight="1">
      <c r="A6" s="421" t="s">
        <v>172</v>
      </c>
      <c r="B6" s="422"/>
      <c r="C6" s="655">
        <f t="shared" ref="C6:H6" si="0">SUM(C7:C9)</f>
        <v>0</v>
      </c>
      <c r="D6" s="683">
        <f t="shared" si="0"/>
        <v>574458639.03999996</v>
      </c>
      <c r="E6" s="651">
        <f t="shared" si="0"/>
        <v>0</v>
      </c>
      <c r="F6" s="651">
        <f t="shared" si="0"/>
        <v>13790000</v>
      </c>
      <c r="G6" s="651">
        <f t="shared" si="0"/>
        <v>364755100</v>
      </c>
      <c r="H6" s="651">
        <f t="shared" si="0"/>
        <v>574458639.03999996</v>
      </c>
      <c r="I6" s="48">
        <f t="shared" ref="I6:I13" si="1">G6-H6</f>
        <v>-209703539.03999996</v>
      </c>
      <c r="J6" s="201">
        <f>IF(I6=0,"",I6/H6)</f>
        <v>-0.36504549638324468</v>
      </c>
      <c r="K6" s="655">
        <f>SUM(K7:K9)</f>
        <v>574458639.03999996</v>
      </c>
      <c r="L6" s="101"/>
      <c r="Q6" s="70"/>
      <c r="R6" s="71"/>
    </row>
    <row r="7" spans="1:18" ht="12.75" customHeight="1">
      <c r="A7" s="423" t="s">
        <v>121</v>
      </c>
      <c r="B7" s="422"/>
      <c r="C7" s="656">
        <f>'C2C'!C7</f>
        <v>0</v>
      </c>
      <c r="D7" s="684">
        <f>'C2C'!D7</f>
        <v>0</v>
      </c>
      <c r="E7" s="415">
        <f>'C2C'!E7</f>
        <v>0</v>
      </c>
      <c r="F7" s="415">
        <f>'C2C'!F7</f>
        <v>0</v>
      </c>
      <c r="G7" s="415">
        <f>'C2C'!G7</f>
        <v>0</v>
      </c>
      <c r="H7" s="415">
        <f>'C2C'!H7</f>
        <v>0</v>
      </c>
      <c r="I7" s="48">
        <f t="shared" si="1"/>
        <v>0</v>
      </c>
      <c r="J7" s="201" t="str">
        <f t="shared" ref="J7:J26" si="2">IF(I7=0,"",I7/H7)</f>
        <v/>
      </c>
      <c r="K7" s="656">
        <f>'C2C'!K7</f>
        <v>0</v>
      </c>
      <c r="L7" s="101"/>
      <c r="Q7" s="70"/>
      <c r="R7" s="71"/>
    </row>
    <row r="8" spans="1:18" ht="12.75" customHeight="1">
      <c r="A8" s="423" t="s">
        <v>122</v>
      </c>
      <c r="B8" s="422"/>
      <c r="C8" s="657">
        <f>'C2C'!C10</f>
        <v>0</v>
      </c>
      <c r="D8" s="685">
        <f>'C2C'!D10</f>
        <v>349037000</v>
      </c>
      <c r="E8" s="686">
        <f>'C2C'!E10</f>
        <v>0</v>
      </c>
      <c r="F8" s="686">
        <f>'C2C'!F10</f>
        <v>54000</v>
      </c>
      <c r="G8" s="686">
        <f>'C2C'!G10</f>
        <v>262056100</v>
      </c>
      <c r="H8" s="686">
        <f>'C2C'!H10</f>
        <v>1000000</v>
      </c>
      <c r="I8" s="48">
        <f t="shared" si="1"/>
        <v>261056100</v>
      </c>
      <c r="J8" s="201">
        <f t="shared" si="2"/>
        <v>261.05610000000001</v>
      </c>
      <c r="K8" s="687">
        <f>'C2C'!K10</f>
        <v>1000000</v>
      </c>
      <c r="L8" s="101"/>
      <c r="Q8" s="70"/>
      <c r="R8" s="71"/>
    </row>
    <row r="9" spans="1:18" ht="12.75" customHeight="1">
      <c r="A9" s="423" t="s">
        <v>123</v>
      </c>
      <c r="B9" s="422"/>
      <c r="C9" s="656">
        <f>'C2C'!C11</f>
        <v>0</v>
      </c>
      <c r="D9" s="684">
        <f>'C2C'!D11</f>
        <v>225421639.03999996</v>
      </c>
      <c r="E9" s="415">
        <f>'C2C'!E11</f>
        <v>0</v>
      </c>
      <c r="F9" s="415">
        <f>'C2C'!F11</f>
        <v>13736000</v>
      </c>
      <c r="G9" s="415">
        <f>'C2C'!G11</f>
        <v>102699000</v>
      </c>
      <c r="H9" s="415">
        <f>'C2C'!H11</f>
        <v>573458639.03999996</v>
      </c>
      <c r="I9" s="48">
        <f t="shared" si="1"/>
        <v>-470759639.03999996</v>
      </c>
      <c r="J9" s="201">
        <f t="shared" si="2"/>
        <v>-0.82091297783581474</v>
      </c>
      <c r="K9" s="656">
        <f>'C2C'!K11</f>
        <v>573458639.03999996</v>
      </c>
      <c r="L9" s="101"/>
      <c r="Q9" s="70"/>
      <c r="R9" s="71"/>
    </row>
    <row r="10" spans="1:18" ht="12.75" customHeight="1">
      <c r="A10" s="421" t="s">
        <v>124</v>
      </c>
      <c r="B10" s="422"/>
      <c r="C10" s="655">
        <f t="shared" ref="C10:H10" si="3">SUM(C11:C15)</f>
        <v>0</v>
      </c>
      <c r="D10" s="683">
        <f t="shared" si="3"/>
        <v>5497046</v>
      </c>
      <c r="E10" s="651">
        <f t="shared" si="3"/>
        <v>0</v>
      </c>
      <c r="F10" s="651">
        <f t="shared" si="3"/>
        <v>103112.3</v>
      </c>
      <c r="G10" s="651">
        <f t="shared" si="3"/>
        <v>1617662.5</v>
      </c>
      <c r="H10" s="651">
        <f t="shared" si="3"/>
        <v>5497046</v>
      </c>
      <c r="I10" s="48">
        <f t="shared" si="1"/>
        <v>-3879383.5</v>
      </c>
      <c r="J10" s="201">
        <f t="shared" si="2"/>
        <v>-0.70572149114269733</v>
      </c>
      <c r="K10" s="655">
        <f>SUM(K11:K15)</f>
        <v>5497046</v>
      </c>
      <c r="L10" s="101"/>
      <c r="Q10" s="70"/>
      <c r="R10" s="71"/>
    </row>
    <row r="11" spans="1:18" ht="12.75" customHeight="1">
      <c r="A11" s="423" t="s">
        <v>125</v>
      </c>
      <c r="B11" s="422"/>
      <c r="C11" s="656">
        <f>'C2C'!C17</f>
        <v>0</v>
      </c>
      <c r="D11" s="684">
        <f>'C2C'!D17</f>
        <v>62291</v>
      </c>
      <c r="E11" s="415">
        <f>'C2C'!E17</f>
        <v>0</v>
      </c>
      <c r="F11" s="415">
        <f>'C2C'!F17</f>
        <v>1112.3</v>
      </c>
      <c r="G11" s="415">
        <f>'C2C'!G17</f>
        <v>30662.5</v>
      </c>
      <c r="H11" s="415">
        <f>'C2C'!H17</f>
        <v>62291</v>
      </c>
      <c r="I11" s="48">
        <f t="shared" si="1"/>
        <v>-31628.5</v>
      </c>
      <c r="J11" s="201">
        <f t="shared" si="2"/>
        <v>-0.50775392913904094</v>
      </c>
      <c r="K11" s="656">
        <f>'C2C'!K17</f>
        <v>62291</v>
      </c>
      <c r="L11" s="101"/>
      <c r="Q11" s="70"/>
      <c r="R11" s="71"/>
    </row>
    <row r="12" spans="1:18" ht="12.75" customHeight="1">
      <c r="A12" s="423" t="s">
        <v>126</v>
      </c>
      <c r="B12" s="422"/>
      <c r="C12" s="656">
        <f>'C2C'!C26</f>
        <v>0</v>
      </c>
      <c r="D12" s="684">
        <f>'C2C'!D26</f>
        <v>1585875</v>
      </c>
      <c r="E12" s="415">
        <f>'C2C'!E26</f>
        <v>0</v>
      </c>
      <c r="F12" s="415">
        <f>'C2C'!F26</f>
        <v>52000</v>
      </c>
      <c r="G12" s="415">
        <f>'C2C'!G26</f>
        <v>691000</v>
      </c>
      <c r="H12" s="415">
        <f>'C2C'!H26</f>
        <v>1585875</v>
      </c>
      <c r="I12" s="48">
        <f t="shared" si="1"/>
        <v>-894875</v>
      </c>
      <c r="J12" s="201">
        <f t="shared" si="2"/>
        <v>-0.56427839520769296</v>
      </c>
      <c r="K12" s="656">
        <f>'C2C'!K26</f>
        <v>1585875</v>
      </c>
      <c r="L12" s="101"/>
      <c r="Q12" s="70"/>
      <c r="R12" s="71"/>
    </row>
    <row r="13" spans="1:18" ht="12.75" customHeight="1">
      <c r="A13" s="423" t="s">
        <v>127</v>
      </c>
      <c r="B13" s="422"/>
      <c r="C13" s="656">
        <f>'C2C'!C27</f>
        <v>0</v>
      </c>
      <c r="D13" s="684">
        <f>'C2C'!D27</f>
        <v>3348880</v>
      </c>
      <c r="E13" s="415">
        <f>'C2C'!E27</f>
        <v>0</v>
      </c>
      <c r="F13" s="415">
        <f>'C2C'!F27</f>
        <v>50000</v>
      </c>
      <c r="G13" s="415">
        <f>'C2C'!G27</f>
        <v>896000</v>
      </c>
      <c r="H13" s="415">
        <f>'C2C'!H27</f>
        <v>3348880</v>
      </c>
      <c r="I13" s="48">
        <f t="shared" si="1"/>
        <v>-2452880</v>
      </c>
      <c r="J13" s="201">
        <f t="shared" si="2"/>
        <v>-0.73244786316619293</v>
      </c>
      <c r="K13" s="656">
        <f>'C2C'!K27</f>
        <v>3348880</v>
      </c>
      <c r="L13" s="101"/>
      <c r="Q13" s="70"/>
      <c r="R13" s="71"/>
    </row>
    <row r="14" spans="1:18" ht="12.75" customHeight="1">
      <c r="A14" s="423" t="s">
        <v>876</v>
      </c>
      <c r="B14" s="422"/>
      <c r="C14" s="656">
        <f>'C2C'!C33</f>
        <v>0</v>
      </c>
      <c r="D14" s="684">
        <f>'C2C'!D33</f>
        <v>500000</v>
      </c>
      <c r="E14" s="415">
        <f>'C2C'!E33</f>
        <v>0</v>
      </c>
      <c r="F14" s="415">
        <f>'C2C'!F33</f>
        <v>0</v>
      </c>
      <c r="G14" s="415">
        <f>'C2C'!G33</f>
        <v>0</v>
      </c>
      <c r="H14" s="415">
        <f>'C2C'!H33</f>
        <v>500000</v>
      </c>
      <c r="I14" s="48">
        <f t="shared" ref="I14:I19" si="4">G14-H14</f>
        <v>-500000</v>
      </c>
      <c r="J14" s="201">
        <f t="shared" ref="J14:J19" si="5">IF(I14=0,"",I14/H14)</f>
        <v>-1</v>
      </c>
      <c r="K14" s="656">
        <f>'C2C'!K33</f>
        <v>500000</v>
      </c>
      <c r="L14" s="101"/>
      <c r="Q14" s="70"/>
      <c r="R14" s="71"/>
    </row>
    <row r="15" spans="1:18" ht="12.75" customHeight="1">
      <c r="A15" s="423" t="s">
        <v>762</v>
      </c>
      <c r="B15" s="422"/>
      <c r="C15" s="657">
        <f>'C2C'!C34</f>
        <v>0</v>
      </c>
      <c r="D15" s="685">
        <f>'C2C'!D34</f>
        <v>0</v>
      </c>
      <c r="E15" s="686">
        <f>'C2C'!E34</f>
        <v>0</v>
      </c>
      <c r="F15" s="686">
        <f>'C2C'!F34</f>
        <v>0</v>
      </c>
      <c r="G15" s="686">
        <f>'C2C'!G34</f>
        <v>0</v>
      </c>
      <c r="H15" s="686">
        <f>'C2C'!H34</f>
        <v>0</v>
      </c>
      <c r="I15" s="48">
        <f t="shared" si="4"/>
        <v>0</v>
      </c>
      <c r="J15" s="201" t="str">
        <f t="shared" si="5"/>
        <v/>
      </c>
      <c r="K15" s="687">
        <f>'C2C'!K34</f>
        <v>0</v>
      </c>
      <c r="L15" s="101"/>
      <c r="Q15" s="70"/>
      <c r="R15" s="71"/>
    </row>
    <row r="16" spans="1:18" ht="12.75" customHeight="1">
      <c r="A16" s="421" t="s">
        <v>128</v>
      </c>
      <c r="B16" s="424"/>
      <c r="C16" s="655">
        <f t="shared" ref="C16:H16" si="6">SUM(C17:C19)</f>
        <v>0</v>
      </c>
      <c r="D16" s="683">
        <f t="shared" si="6"/>
        <v>909745</v>
      </c>
      <c r="E16" s="651">
        <f t="shared" si="6"/>
        <v>0</v>
      </c>
      <c r="F16" s="651">
        <f t="shared" si="6"/>
        <v>27000</v>
      </c>
      <c r="G16" s="651">
        <f t="shared" si="6"/>
        <v>305000</v>
      </c>
      <c r="H16" s="651">
        <f t="shared" si="6"/>
        <v>909745</v>
      </c>
      <c r="I16" s="48">
        <f t="shared" si="4"/>
        <v>-604745</v>
      </c>
      <c r="J16" s="201">
        <f t="shared" si="5"/>
        <v>-0.66474121869315028</v>
      </c>
      <c r="K16" s="655">
        <f>SUM(K17:K19)</f>
        <v>909745</v>
      </c>
      <c r="L16" s="101"/>
      <c r="Q16" s="70"/>
      <c r="R16" s="71"/>
    </row>
    <row r="17" spans="1:18" ht="12.75" customHeight="1">
      <c r="A17" s="423" t="s">
        <v>129</v>
      </c>
      <c r="B17" s="422"/>
      <c r="C17" s="656">
        <f>'C2C'!C39</f>
        <v>0</v>
      </c>
      <c r="D17" s="684">
        <f>'C2C'!D39</f>
        <v>909745</v>
      </c>
      <c r="E17" s="415">
        <f>'C2C'!E39</f>
        <v>0</v>
      </c>
      <c r="F17" s="415">
        <f>'C2C'!F39</f>
        <v>27000</v>
      </c>
      <c r="G17" s="415">
        <f>'C2C'!G39</f>
        <v>305000</v>
      </c>
      <c r="H17" s="415">
        <f>'C2C'!H39</f>
        <v>909745</v>
      </c>
      <c r="I17" s="48">
        <f t="shared" si="4"/>
        <v>-604745</v>
      </c>
      <c r="J17" s="201">
        <f t="shared" si="5"/>
        <v>-0.66474121869315028</v>
      </c>
      <c r="K17" s="656">
        <f>'C2C'!K39</f>
        <v>909745</v>
      </c>
      <c r="L17" s="101"/>
      <c r="Q17" s="70"/>
      <c r="R17" s="71"/>
    </row>
    <row r="18" spans="1:18" ht="12.75" customHeight="1">
      <c r="A18" s="423" t="s">
        <v>130</v>
      </c>
      <c r="B18" s="422"/>
      <c r="C18" s="656">
        <f>'C2C'!C43</f>
        <v>0</v>
      </c>
      <c r="D18" s="684">
        <f>'C2C'!D43</f>
        <v>0</v>
      </c>
      <c r="E18" s="415">
        <f>'C2C'!E43</f>
        <v>0</v>
      </c>
      <c r="F18" s="415">
        <f>'C2C'!F43</f>
        <v>0</v>
      </c>
      <c r="G18" s="415">
        <f>'C2C'!G43</f>
        <v>0</v>
      </c>
      <c r="H18" s="415">
        <f>'C2C'!H43</f>
        <v>0</v>
      </c>
      <c r="I18" s="48">
        <f t="shared" si="4"/>
        <v>0</v>
      </c>
      <c r="J18" s="201" t="str">
        <f t="shared" si="5"/>
        <v/>
      </c>
      <c r="K18" s="656">
        <f>'C2C'!K43</f>
        <v>0</v>
      </c>
      <c r="L18" s="101"/>
      <c r="Q18" s="70"/>
      <c r="R18" s="71"/>
    </row>
    <row r="19" spans="1:18" ht="12.75" customHeight="1">
      <c r="A19" s="423" t="s">
        <v>131</v>
      </c>
      <c r="B19" s="422"/>
      <c r="C19" s="656">
        <f>'C2C'!C49</f>
        <v>0</v>
      </c>
      <c r="D19" s="684">
        <f>'C2C'!D49</f>
        <v>0</v>
      </c>
      <c r="E19" s="415">
        <f>'C2C'!E49</f>
        <v>0</v>
      </c>
      <c r="F19" s="415">
        <f>'C2C'!F49</f>
        <v>0</v>
      </c>
      <c r="G19" s="415">
        <f>'C2C'!G49</f>
        <v>0</v>
      </c>
      <c r="H19" s="415">
        <f>'C2C'!H49</f>
        <v>0</v>
      </c>
      <c r="I19" s="48">
        <f t="shared" si="4"/>
        <v>0</v>
      </c>
      <c r="J19" s="201" t="str">
        <f t="shared" si="5"/>
        <v/>
      </c>
      <c r="K19" s="656">
        <f>'C2C'!K49</f>
        <v>0</v>
      </c>
      <c r="L19" s="101"/>
      <c r="Q19" s="70"/>
      <c r="R19" s="71"/>
    </row>
    <row r="20" spans="1:18" ht="12.75" customHeight="1">
      <c r="A20" s="421" t="s">
        <v>132</v>
      </c>
      <c r="B20" s="424"/>
      <c r="C20" s="655">
        <f>SUM(C21:C24)</f>
        <v>0</v>
      </c>
      <c r="D20" s="683">
        <f t="shared" ref="D20:I20" si="7">SUM(D21:D24)</f>
        <v>572900048</v>
      </c>
      <c r="E20" s="651">
        <f t="shared" si="7"/>
        <v>0</v>
      </c>
      <c r="F20" s="651">
        <f t="shared" si="7"/>
        <v>29545121.120000001</v>
      </c>
      <c r="G20" s="651">
        <f t="shared" si="7"/>
        <v>242895358.02000001</v>
      </c>
      <c r="H20" s="651">
        <f t="shared" si="7"/>
        <v>572900048</v>
      </c>
      <c r="I20" s="48">
        <f t="shared" si="7"/>
        <v>-330004689.98000002</v>
      </c>
      <c r="J20" s="201">
        <f t="shared" si="2"/>
        <v>-0.57602489497434994</v>
      </c>
      <c r="K20" s="655">
        <f>SUM(K21:K24)</f>
        <v>572900048</v>
      </c>
      <c r="L20" s="101"/>
      <c r="Q20" s="70"/>
      <c r="R20" s="71"/>
    </row>
    <row r="21" spans="1:18" ht="12.75" customHeight="1">
      <c r="A21" s="423" t="s">
        <v>770</v>
      </c>
      <c r="B21" s="422"/>
      <c r="C21" s="656">
        <f>'C2C'!C54</f>
        <v>0</v>
      </c>
      <c r="D21" s="684">
        <f>'C2C'!D54</f>
        <v>367292860.5</v>
      </c>
      <c r="E21" s="415">
        <f>'C2C'!E54</f>
        <v>0</v>
      </c>
      <c r="F21" s="415">
        <f>'C2C'!F54</f>
        <v>20991327.260000002</v>
      </c>
      <c r="G21" s="415">
        <f>'C2C'!G54</f>
        <v>148207380.59</v>
      </c>
      <c r="H21" s="415">
        <f>'C2C'!H54</f>
        <v>367292860.5</v>
      </c>
      <c r="I21" s="48">
        <f>G21-H21</f>
        <v>-219085479.91</v>
      </c>
      <c r="J21" s="201">
        <f t="shared" si="2"/>
        <v>-0.59648717269308316</v>
      </c>
      <c r="K21" s="656">
        <f>'C2C'!K54</f>
        <v>367292860.5</v>
      </c>
      <c r="L21" s="101"/>
      <c r="Q21" s="70"/>
      <c r="R21" s="71"/>
    </row>
    <row r="22" spans="1:18" ht="12.75" customHeight="1">
      <c r="A22" s="423" t="s">
        <v>541</v>
      </c>
      <c r="B22" s="422"/>
      <c r="C22" s="656">
        <f>'C2C'!C57</f>
        <v>0</v>
      </c>
      <c r="D22" s="684">
        <f>'C2C'!D57</f>
        <v>166191000</v>
      </c>
      <c r="E22" s="415">
        <f>'C2C'!E57</f>
        <v>0</v>
      </c>
      <c r="F22" s="415">
        <f>'C2C'!F57</f>
        <v>4395633.66</v>
      </c>
      <c r="G22" s="415">
        <f>'C2C'!G57</f>
        <v>66304550.470000014</v>
      </c>
      <c r="H22" s="415">
        <f>'C2C'!H57</f>
        <v>166191000</v>
      </c>
      <c r="I22" s="48">
        <f>G22-H22</f>
        <v>-99886449.529999986</v>
      </c>
      <c r="J22" s="201">
        <f t="shared" si="2"/>
        <v>-0.6010340483540022</v>
      </c>
      <c r="K22" s="656">
        <f>'C2C'!K57</f>
        <v>166191000</v>
      </c>
      <c r="L22" s="101"/>
      <c r="Q22" s="70"/>
      <c r="R22" s="71"/>
    </row>
    <row r="23" spans="1:18" ht="12.75" customHeight="1">
      <c r="A23" s="423" t="s">
        <v>133</v>
      </c>
      <c r="B23" s="422"/>
      <c r="C23" s="657">
        <f>'C2C'!C60</f>
        <v>0</v>
      </c>
      <c r="D23" s="685">
        <f>'C2C'!D60</f>
        <v>20150000</v>
      </c>
      <c r="E23" s="686">
        <f>'C2C'!E60</f>
        <v>0</v>
      </c>
      <c r="F23" s="686">
        <f>'C2C'!F60</f>
        <v>2386160.2000000002</v>
      </c>
      <c r="G23" s="686">
        <f>'C2C'!G60</f>
        <v>16876426.960000001</v>
      </c>
      <c r="H23" s="686">
        <f>'C2C'!H60</f>
        <v>20150000</v>
      </c>
      <c r="I23" s="48">
        <f>G23-H23</f>
        <v>-3273573.0399999991</v>
      </c>
      <c r="J23" s="201">
        <f t="shared" si="2"/>
        <v>-0.16246020049627788</v>
      </c>
      <c r="K23" s="687">
        <f>'C2C'!K60</f>
        <v>20150000</v>
      </c>
      <c r="L23" s="101"/>
      <c r="Q23" s="70"/>
      <c r="R23" s="71"/>
    </row>
    <row r="24" spans="1:18" ht="12.75" customHeight="1">
      <c r="A24" s="423" t="s">
        <v>134</v>
      </c>
      <c r="B24" s="422"/>
      <c r="C24" s="656">
        <f>'C2C'!C64</f>
        <v>0</v>
      </c>
      <c r="D24" s="684">
        <f>'C2C'!D64</f>
        <v>19266187.5</v>
      </c>
      <c r="E24" s="415">
        <f>'C2C'!E64</f>
        <v>0</v>
      </c>
      <c r="F24" s="415">
        <f>'C2C'!F64</f>
        <v>1772000</v>
      </c>
      <c r="G24" s="415">
        <f>'C2C'!G64</f>
        <v>11507000</v>
      </c>
      <c r="H24" s="415">
        <f>'C2C'!H64</f>
        <v>19266187.5</v>
      </c>
      <c r="I24" s="48">
        <f>G24-H24</f>
        <v>-7759187.5</v>
      </c>
      <c r="J24" s="201">
        <f t="shared" si="2"/>
        <v>-0.40273601095182948</v>
      </c>
      <c r="K24" s="656">
        <f>'C2C'!K64</f>
        <v>19266187.5</v>
      </c>
      <c r="L24" s="101"/>
      <c r="Q24" s="70"/>
      <c r="R24" s="71"/>
    </row>
    <row r="25" spans="1:18" ht="12.75" customHeight="1">
      <c r="A25" s="421" t="s">
        <v>883</v>
      </c>
      <c r="B25" s="424">
        <v>4</v>
      </c>
      <c r="C25" s="655">
        <f>'C2C'!C66</f>
        <v>0</v>
      </c>
      <c r="D25" s="683">
        <f>'C2C'!D66</f>
        <v>0</v>
      </c>
      <c r="E25" s="651">
        <f>'C2C'!E66</f>
        <v>0</v>
      </c>
      <c r="F25" s="651">
        <f>'C2C'!F66</f>
        <v>0</v>
      </c>
      <c r="G25" s="651">
        <f>'C2C'!G66</f>
        <v>0</v>
      </c>
      <c r="H25" s="651">
        <f>'C2C'!H66</f>
        <v>0</v>
      </c>
      <c r="I25" s="103">
        <f>G25-H25</f>
        <v>0</v>
      </c>
      <c r="J25" s="731" t="str">
        <f t="shared" si="2"/>
        <v/>
      </c>
      <c r="K25" s="655">
        <f>'C2C'!K66</f>
        <v>0</v>
      </c>
      <c r="L25" s="101"/>
      <c r="Q25" s="70"/>
      <c r="R25" s="71"/>
    </row>
    <row r="26" spans="1:18" ht="12.75" customHeight="1">
      <c r="A26" s="93" t="s">
        <v>659</v>
      </c>
      <c r="B26" s="599">
        <v>2</v>
      </c>
      <c r="C26" s="658">
        <f>C6+C10+C16+C20+C25</f>
        <v>0</v>
      </c>
      <c r="D26" s="612">
        <f t="shared" ref="D26:I26" si="8">D6+D10+D16+D20+D25</f>
        <v>1153765478.04</v>
      </c>
      <c r="E26" s="553">
        <f t="shared" si="8"/>
        <v>0</v>
      </c>
      <c r="F26" s="553">
        <f t="shared" si="8"/>
        <v>43465233.420000002</v>
      </c>
      <c r="G26" s="553">
        <f t="shared" si="8"/>
        <v>609573120.51999998</v>
      </c>
      <c r="H26" s="553">
        <f t="shared" si="8"/>
        <v>1153765478.04</v>
      </c>
      <c r="I26" s="553">
        <f t="shared" si="8"/>
        <v>-544192357.51999998</v>
      </c>
      <c r="J26" s="613">
        <f t="shared" si="2"/>
        <v>-0.47166635497229997</v>
      </c>
      <c r="K26" s="611">
        <f>K6+K10+K16+K20+K25</f>
        <v>1153765478.04</v>
      </c>
      <c r="L26" s="101"/>
      <c r="Q26" s="72"/>
      <c r="R26" s="73"/>
    </row>
    <row r="27" spans="1:18" ht="5.0999999999999996" customHeight="1">
      <c r="A27" s="43"/>
      <c r="B27" s="433"/>
      <c r="C27" s="659"/>
      <c r="D27" s="539"/>
      <c r="E27" s="48"/>
      <c r="F27" s="48"/>
      <c r="G27" s="48"/>
      <c r="H27" s="48"/>
      <c r="I27" s="48"/>
      <c r="J27" s="48"/>
      <c r="K27" s="392"/>
      <c r="L27" s="101"/>
      <c r="Q27" s="67"/>
    </row>
    <row r="28" spans="1:18" ht="12.75" customHeight="1">
      <c r="A28" s="36" t="s">
        <v>923</v>
      </c>
      <c r="B28" s="434"/>
      <c r="C28" s="659"/>
      <c r="D28" s="539"/>
      <c r="E28" s="48"/>
      <c r="F28" s="48"/>
      <c r="G28" s="48"/>
      <c r="H28" s="48"/>
      <c r="I28" s="48"/>
      <c r="J28" s="48"/>
      <c r="K28" s="392"/>
      <c r="L28" s="101"/>
      <c r="Q28" s="67"/>
    </row>
    <row r="29" spans="1:18" ht="12.75" customHeight="1">
      <c r="A29" s="421" t="str">
        <f>A6</f>
        <v>Governance and administration</v>
      </c>
      <c r="B29" s="435"/>
      <c r="C29" s="655">
        <f t="shared" ref="C29:H29" si="9">SUM(C30:C32)</f>
        <v>0</v>
      </c>
      <c r="D29" s="683">
        <f t="shared" si="9"/>
        <v>434974388.94500005</v>
      </c>
      <c r="E29" s="651">
        <f t="shared" si="9"/>
        <v>0</v>
      </c>
      <c r="F29" s="651">
        <f t="shared" si="9"/>
        <v>23342000</v>
      </c>
      <c r="G29" s="651">
        <f t="shared" si="9"/>
        <v>172929917</v>
      </c>
      <c r="H29" s="651">
        <f t="shared" si="9"/>
        <v>434974388.94500005</v>
      </c>
      <c r="I29" s="48">
        <f t="shared" ref="I29:I48" si="10">G29-H29</f>
        <v>-262044471.94500005</v>
      </c>
      <c r="J29" s="201">
        <f>IF(I29=0,"",I29/H29)</f>
        <v>-0.60243655397866203</v>
      </c>
      <c r="K29" s="655">
        <f>SUM(K30:K32)</f>
        <v>434974388.94500005</v>
      </c>
      <c r="L29" s="101"/>
      <c r="Q29" s="70"/>
    </row>
    <row r="30" spans="1:18" ht="12.75" customHeight="1">
      <c r="A30" s="423" t="str">
        <f t="shared" ref="A30:A48" si="11">A7</f>
        <v>Executive and council</v>
      </c>
      <c r="B30" s="435"/>
      <c r="C30" s="656">
        <f>'C2C'!C76</f>
        <v>0</v>
      </c>
      <c r="D30" s="684">
        <f>'C2C'!D76</f>
        <v>56441251.450000003</v>
      </c>
      <c r="E30" s="415">
        <f>'C2C'!E76</f>
        <v>0</v>
      </c>
      <c r="F30" s="415">
        <f>'C2C'!F76</f>
        <v>2952000</v>
      </c>
      <c r="G30" s="415">
        <f>'C2C'!G76</f>
        <v>21824000</v>
      </c>
      <c r="H30" s="415">
        <f>'C2C'!H76</f>
        <v>56441251.450000003</v>
      </c>
      <c r="I30" s="48">
        <f t="shared" si="10"/>
        <v>-34617251.450000003</v>
      </c>
      <c r="J30" s="201">
        <f t="shared" ref="J30:J49" si="12">IF(I30=0,"",I30/H30)</f>
        <v>-0.61333245739008146</v>
      </c>
      <c r="K30" s="656">
        <f>'C2C'!K76</f>
        <v>56441251.450000003</v>
      </c>
      <c r="L30" s="101"/>
      <c r="Q30" s="70"/>
    </row>
    <row r="31" spans="1:18" ht="12.75" customHeight="1">
      <c r="A31" s="423" t="str">
        <f t="shared" si="11"/>
        <v>Budget and treasury office</v>
      </c>
      <c r="B31" s="435"/>
      <c r="C31" s="657">
        <f>'C2C'!C79</f>
        <v>0</v>
      </c>
      <c r="D31" s="685">
        <f>'C2C'!D79</f>
        <v>123355674.89</v>
      </c>
      <c r="E31" s="686">
        <f>'C2C'!E79</f>
        <v>0</v>
      </c>
      <c r="F31" s="686">
        <f>'C2C'!F79</f>
        <v>10926000</v>
      </c>
      <c r="G31" s="686">
        <f>'C2C'!G79</f>
        <v>60812917</v>
      </c>
      <c r="H31" s="686">
        <f>'C2C'!H79</f>
        <v>123355674.89</v>
      </c>
      <c r="I31" s="48">
        <f t="shared" si="10"/>
        <v>-62542757.890000001</v>
      </c>
      <c r="J31" s="201">
        <f t="shared" si="12"/>
        <v>-0.50701159833766285</v>
      </c>
      <c r="K31" s="687">
        <f>'C2C'!K79</f>
        <v>123355674.89</v>
      </c>
      <c r="L31" s="101"/>
      <c r="Q31" s="70"/>
    </row>
    <row r="32" spans="1:18" ht="12.75" customHeight="1">
      <c r="A32" s="423" t="str">
        <f t="shared" si="11"/>
        <v>Corporate services</v>
      </c>
      <c r="B32" s="435"/>
      <c r="C32" s="656">
        <f>'C2C'!C80</f>
        <v>0</v>
      </c>
      <c r="D32" s="684">
        <f>'C2C'!D80</f>
        <v>255177462.60500002</v>
      </c>
      <c r="E32" s="415">
        <f>'C2C'!E80</f>
        <v>0</v>
      </c>
      <c r="F32" s="415">
        <f>'C2C'!F80</f>
        <v>9464000</v>
      </c>
      <c r="G32" s="415">
        <f>'C2C'!G80</f>
        <v>90293000</v>
      </c>
      <c r="H32" s="415">
        <f>'C2C'!H80</f>
        <v>255177462.60500002</v>
      </c>
      <c r="I32" s="48">
        <f t="shared" si="10"/>
        <v>-164884462.60500002</v>
      </c>
      <c r="J32" s="201">
        <f t="shared" si="12"/>
        <v>-0.64615605516946317</v>
      </c>
      <c r="K32" s="656">
        <f>'C2C'!K80</f>
        <v>255177462.60500002</v>
      </c>
      <c r="L32" s="101"/>
      <c r="Q32" s="70"/>
    </row>
    <row r="33" spans="1:17" ht="12.75" customHeight="1">
      <c r="A33" s="421" t="str">
        <f t="shared" si="11"/>
        <v>Community and public safety</v>
      </c>
      <c r="B33" s="435"/>
      <c r="C33" s="655">
        <f t="shared" ref="C33:H33" si="13">SUM(C34:C38)</f>
        <v>0</v>
      </c>
      <c r="D33" s="683">
        <f t="shared" si="13"/>
        <v>93037554.490999997</v>
      </c>
      <c r="E33" s="651">
        <f t="shared" si="13"/>
        <v>0</v>
      </c>
      <c r="F33" s="651">
        <f t="shared" si="13"/>
        <v>9415000</v>
      </c>
      <c r="G33" s="651">
        <f t="shared" si="13"/>
        <v>55311000</v>
      </c>
      <c r="H33" s="651">
        <f t="shared" si="13"/>
        <v>93037554.490999997</v>
      </c>
      <c r="I33" s="48">
        <f t="shared" si="10"/>
        <v>-37726554.490999997</v>
      </c>
      <c r="J33" s="201">
        <f t="shared" si="12"/>
        <v>-0.40549813134490204</v>
      </c>
      <c r="K33" s="655">
        <f>SUM(K34:K38)</f>
        <v>93037554.490999997</v>
      </c>
      <c r="L33" s="101"/>
      <c r="Q33" s="70"/>
    </row>
    <row r="34" spans="1:17" ht="12.75" customHeight="1">
      <c r="A34" s="423" t="str">
        <f t="shared" si="11"/>
        <v>Community and social services</v>
      </c>
      <c r="B34" s="435"/>
      <c r="C34" s="656">
        <f>'C2C'!C86</f>
        <v>0</v>
      </c>
      <c r="D34" s="684">
        <f>'C2C'!D86</f>
        <v>16678116.638999999</v>
      </c>
      <c r="E34" s="415">
        <f>'C2C'!E86</f>
        <v>0</v>
      </c>
      <c r="F34" s="415">
        <f>'C2C'!F86</f>
        <v>1107000</v>
      </c>
      <c r="G34" s="415">
        <f>'C2C'!G86</f>
        <v>6910000</v>
      </c>
      <c r="H34" s="415">
        <f>'C2C'!H86</f>
        <v>16678116.638999999</v>
      </c>
      <c r="I34" s="48">
        <f t="shared" si="10"/>
        <v>-9768116.6389999986</v>
      </c>
      <c r="J34" s="201">
        <f t="shared" si="12"/>
        <v>-0.58568463396869996</v>
      </c>
      <c r="K34" s="656">
        <f>'C2C'!K86</f>
        <v>16678116.638999999</v>
      </c>
      <c r="L34" s="101"/>
      <c r="Q34" s="70"/>
    </row>
    <row r="35" spans="1:17" ht="12.75" customHeight="1">
      <c r="A35" s="423" t="str">
        <f t="shared" si="11"/>
        <v>Sport and recreation</v>
      </c>
      <c r="B35" s="435"/>
      <c r="C35" s="656">
        <f>'C2C'!C95</f>
        <v>0</v>
      </c>
      <c r="D35" s="684">
        <f>'C2C'!D95</f>
        <v>27050201.431999996</v>
      </c>
      <c r="E35" s="415">
        <f>'C2C'!E95</f>
        <v>0</v>
      </c>
      <c r="F35" s="415">
        <f>'C2C'!F95</f>
        <v>2153000</v>
      </c>
      <c r="G35" s="415">
        <f>'C2C'!G95</f>
        <v>15308000</v>
      </c>
      <c r="H35" s="415">
        <f>'C2C'!H95</f>
        <v>27050201.431999996</v>
      </c>
      <c r="I35" s="48">
        <f t="shared" si="10"/>
        <v>-11742201.431999996</v>
      </c>
      <c r="J35" s="201">
        <f t="shared" si="12"/>
        <v>-0.43408924186823772</v>
      </c>
      <c r="K35" s="656">
        <f>'C2C'!K95</f>
        <v>27050201.431999996</v>
      </c>
      <c r="L35" s="101"/>
      <c r="Q35" s="70"/>
    </row>
    <row r="36" spans="1:17" ht="12.75" customHeight="1">
      <c r="A36" s="423" t="str">
        <f t="shared" si="11"/>
        <v>Public safety</v>
      </c>
      <c r="B36" s="433"/>
      <c r="C36" s="656">
        <f>'C2C'!C96</f>
        <v>0</v>
      </c>
      <c r="D36" s="684">
        <f>'C2C'!D96</f>
        <v>42947207.280000001</v>
      </c>
      <c r="E36" s="415">
        <f>'C2C'!E96</f>
        <v>0</v>
      </c>
      <c r="F36" s="415">
        <f>'C2C'!F96</f>
        <v>5816000</v>
      </c>
      <c r="G36" s="415">
        <f>'C2C'!G96</f>
        <v>30738000</v>
      </c>
      <c r="H36" s="415">
        <f>'C2C'!H96</f>
        <v>42947207.280000001</v>
      </c>
      <c r="I36" s="48">
        <f t="shared" si="10"/>
        <v>-12209207.280000001</v>
      </c>
      <c r="J36" s="201">
        <f t="shared" si="12"/>
        <v>-0.28428407929764699</v>
      </c>
      <c r="K36" s="656">
        <f>'C2C'!K96</f>
        <v>42947207.280000001</v>
      </c>
      <c r="L36" s="101"/>
      <c r="Q36" s="71"/>
    </row>
    <row r="37" spans="1:17" ht="12.75" customHeight="1">
      <c r="A37" s="423" t="str">
        <f t="shared" si="11"/>
        <v>Housing</v>
      </c>
      <c r="B37" s="433"/>
      <c r="C37" s="656">
        <f>'C2C'!C102</f>
        <v>0</v>
      </c>
      <c r="D37" s="684">
        <f>'C2C'!D102</f>
        <v>6362029.1399999997</v>
      </c>
      <c r="E37" s="415">
        <f>'C2C'!E102</f>
        <v>0</v>
      </c>
      <c r="F37" s="415">
        <f>'C2C'!F102</f>
        <v>339000</v>
      </c>
      <c r="G37" s="415">
        <f>'C2C'!G102</f>
        <v>2355000</v>
      </c>
      <c r="H37" s="415">
        <f>'C2C'!H102</f>
        <v>6362029.1399999997</v>
      </c>
      <c r="I37" s="48">
        <f t="shared" si="10"/>
        <v>-4007029.1399999997</v>
      </c>
      <c r="J37" s="201">
        <f t="shared" si="12"/>
        <v>-0.62983508120178144</v>
      </c>
      <c r="K37" s="656">
        <f>'C2C'!K102</f>
        <v>6362029.1399999997</v>
      </c>
      <c r="L37" s="101"/>
      <c r="Q37" s="71"/>
    </row>
    <row r="38" spans="1:17" ht="12.75" customHeight="1">
      <c r="A38" s="423" t="str">
        <f t="shared" si="11"/>
        <v>Health</v>
      </c>
      <c r="B38" s="433"/>
      <c r="C38" s="657">
        <f>'C2C'!C103</f>
        <v>0</v>
      </c>
      <c r="D38" s="685">
        <f>'C2C'!D103</f>
        <v>0</v>
      </c>
      <c r="E38" s="686">
        <f>'C2C'!E103</f>
        <v>0</v>
      </c>
      <c r="F38" s="686">
        <f>'C2C'!F103</f>
        <v>0</v>
      </c>
      <c r="G38" s="686">
        <f>'C2C'!G103</f>
        <v>0</v>
      </c>
      <c r="H38" s="686">
        <f>'C2C'!H103</f>
        <v>0</v>
      </c>
      <c r="I38" s="48">
        <f t="shared" si="10"/>
        <v>0</v>
      </c>
      <c r="J38" s="201" t="str">
        <f t="shared" si="12"/>
        <v/>
      </c>
      <c r="K38" s="687">
        <f>'C2C'!K103</f>
        <v>0</v>
      </c>
      <c r="L38" s="101"/>
      <c r="Q38" s="71"/>
    </row>
    <row r="39" spans="1:17" ht="12.75" customHeight="1">
      <c r="A39" s="421" t="str">
        <f t="shared" si="11"/>
        <v>Economic and environmental services</v>
      </c>
      <c r="B39" s="433"/>
      <c r="C39" s="655">
        <f t="shared" ref="C39:H39" si="14">SUM(C40:C42)</f>
        <v>0</v>
      </c>
      <c r="D39" s="683">
        <f t="shared" si="14"/>
        <v>79552551.356999993</v>
      </c>
      <c r="E39" s="651">
        <f t="shared" si="14"/>
        <v>0</v>
      </c>
      <c r="F39" s="651">
        <f t="shared" si="14"/>
        <v>1514000</v>
      </c>
      <c r="G39" s="651">
        <f t="shared" si="14"/>
        <v>27261000</v>
      </c>
      <c r="H39" s="651">
        <f t="shared" si="14"/>
        <v>79552551.356999993</v>
      </c>
      <c r="I39" s="48">
        <f t="shared" si="10"/>
        <v>-52291551.356999993</v>
      </c>
      <c r="J39" s="201">
        <f t="shared" si="12"/>
        <v>-0.65732085853961431</v>
      </c>
      <c r="K39" s="655">
        <f>SUM(K40:K42)</f>
        <v>79552551.356999993</v>
      </c>
      <c r="L39" s="101"/>
      <c r="Q39" s="71"/>
    </row>
    <row r="40" spans="1:17" ht="12.75" customHeight="1">
      <c r="A40" s="423" t="str">
        <f t="shared" si="11"/>
        <v>Planning and development</v>
      </c>
      <c r="B40" s="433"/>
      <c r="C40" s="656">
        <f>'C2C'!C108</f>
        <v>0</v>
      </c>
      <c r="D40" s="684">
        <f>'C2C'!D108</f>
        <v>24798620.57</v>
      </c>
      <c r="E40" s="415">
        <f>'C2C'!E108</f>
        <v>0</v>
      </c>
      <c r="F40" s="415">
        <f>'C2C'!F108</f>
        <v>1012000</v>
      </c>
      <c r="G40" s="415">
        <f>'C2C'!G108</f>
        <v>7932000</v>
      </c>
      <c r="H40" s="415">
        <f>'C2C'!H108</f>
        <v>24798620.57</v>
      </c>
      <c r="I40" s="48">
        <f t="shared" si="10"/>
        <v>-16866620.57</v>
      </c>
      <c r="J40" s="201">
        <f t="shared" si="12"/>
        <v>-0.6801434992075448</v>
      </c>
      <c r="K40" s="656">
        <f>'C2C'!K108</f>
        <v>24798620.57</v>
      </c>
      <c r="L40" s="101"/>
      <c r="Q40" s="71"/>
    </row>
    <row r="41" spans="1:17" ht="12.75" customHeight="1">
      <c r="A41" s="423" t="str">
        <f t="shared" si="11"/>
        <v>Road transport</v>
      </c>
      <c r="B41" s="433"/>
      <c r="C41" s="656">
        <f>'C2C'!C112</f>
        <v>0</v>
      </c>
      <c r="D41" s="684">
        <f>'C2C'!D112</f>
        <v>54753930.787</v>
      </c>
      <c r="E41" s="415">
        <f>'C2C'!E112</f>
        <v>0</v>
      </c>
      <c r="F41" s="415">
        <f>'C2C'!F112</f>
        <v>502000</v>
      </c>
      <c r="G41" s="415">
        <f>'C2C'!G112</f>
        <v>19329000</v>
      </c>
      <c r="H41" s="415">
        <f>'C2C'!H112</f>
        <v>54753930.787</v>
      </c>
      <c r="I41" s="48">
        <f t="shared" si="10"/>
        <v>-35424930.787</v>
      </c>
      <c r="J41" s="201">
        <f t="shared" si="12"/>
        <v>-0.6469842489447496</v>
      </c>
      <c r="K41" s="656">
        <f>'C2C'!K112</f>
        <v>54753930.787</v>
      </c>
      <c r="L41" s="101"/>
      <c r="Q41" s="71"/>
    </row>
    <row r="42" spans="1:17" ht="12.75" customHeight="1">
      <c r="A42" s="423" t="str">
        <f t="shared" si="11"/>
        <v>Environmental protection</v>
      </c>
      <c r="B42" s="433"/>
      <c r="C42" s="656">
        <f>'C2C'!C118</f>
        <v>0</v>
      </c>
      <c r="D42" s="684">
        <f>'C2C'!D118</f>
        <v>0</v>
      </c>
      <c r="E42" s="415">
        <f>'C2C'!E118</f>
        <v>0</v>
      </c>
      <c r="F42" s="415">
        <f>'C2C'!F118</f>
        <v>0</v>
      </c>
      <c r="G42" s="415">
        <f>'C2C'!G118</f>
        <v>0</v>
      </c>
      <c r="H42" s="415">
        <f>'C2C'!H118</f>
        <v>0</v>
      </c>
      <c r="I42" s="48">
        <f t="shared" si="10"/>
        <v>0</v>
      </c>
      <c r="J42" s="201" t="str">
        <f t="shared" si="12"/>
        <v/>
      </c>
      <c r="K42" s="656">
        <f>'C2C'!K118</f>
        <v>0</v>
      </c>
      <c r="L42" s="101"/>
      <c r="Q42" s="71"/>
    </row>
    <row r="43" spans="1:17" ht="12.75" customHeight="1">
      <c r="A43" s="421" t="str">
        <f t="shared" si="11"/>
        <v>Trading services</v>
      </c>
      <c r="B43" s="433"/>
      <c r="C43" s="655">
        <f>SUM(C44:C47)</f>
        <v>0</v>
      </c>
      <c r="D43" s="683">
        <f t="shared" ref="D43:I43" si="15">SUM(D44:D47)</f>
        <v>542801264.07999992</v>
      </c>
      <c r="E43" s="651">
        <f t="shared" si="15"/>
        <v>0</v>
      </c>
      <c r="F43" s="651">
        <f t="shared" si="15"/>
        <v>29483775</v>
      </c>
      <c r="G43" s="651">
        <f t="shared" si="15"/>
        <v>343478096</v>
      </c>
      <c r="H43" s="651">
        <f t="shared" si="15"/>
        <v>542801264.07999992</v>
      </c>
      <c r="I43" s="48">
        <f t="shared" si="15"/>
        <v>-199323168.07999998</v>
      </c>
      <c r="J43" s="201">
        <f t="shared" si="12"/>
        <v>-0.36721205581168848</v>
      </c>
      <c r="K43" s="655">
        <f>SUM(K44:K47)</f>
        <v>542801264.07999992</v>
      </c>
      <c r="L43" s="101"/>
      <c r="Q43" s="71"/>
    </row>
    <row r="44" spans="1:17" ht="12.75" customHeight="1">
      <c r="A44" s="423" t="str">
        <f t="shared" si="11"/>
        <v>Electricity</v>
      </c>
      <c r="B44" s="433"/>
      <c r="C44" s="656">
        <f>'C2C'!C123</f>
        <v>0</v>
      </c>
      <c r="D44" s="684">
        <f>'C2C'!D123</f>
        <v>381852042.88999999</v>
      </c>
      <c r="E44" s="415">
        <f>'C2C'!E123</f>
        <v>0</v>
      </c>
      <c r="F44" s="415">
        <f>'C2C'!F123</f>
        <v>15815000</v>
      </c>
      <c r="G44" s="415">
        <f>'C2C'!G123</f>
        <v>253794000</v>
      </c>
      <c r="H44" s="415">
        <f>'C2C'!H123</f>
        <v>381852042.88999999</v>
      </c>
      <c r="I44" s="48">
        <f t="shared" si="10"/>
        <v>-128058042.88999999</v>
      </c>
      <c r="J44" s="201">
        <f t="shared" si="12"/>
        <v>-0.33536037131242907</v>
      </c>
      <c r="K44" s="656">
        <f>'C2C'!K123</f>
        <v>381852042.88999999</v>
      </c>
      <c r="L44" s="101"/>
      <c r="Q44" s="71"/>
    </row>
    <row r="45" spans="1:17" ht="12.75" customHeight="1">
      <c r="A45" s="423" t="str">
        <f t="shared" si="11"/>
        <v>Water</v>
      </c>
      <c r="B45" s="433"/>
      <c r="C45" s="656">
        <f>'C2C'!C126</f>
        <v>0</v>
      </c>
      <c r="D45" s="684">
        <f>'C2C'!D126</f>
        <v>120341000</v>
      </c>
      <c r="E45" s="415">
        <f>'C2C'!E126</f>
        <v>0</v>
      </c>
      <c r="F45" s="415">
        <f>'C2C'!F126</f>
        <v>10253775</v>
      </c>
      <c r="G45" s="415">
        <f>'C2C'!G126</f>
        <v>69583096</v>
      </c>
      <c r="H45" s="415">
        <f>'C2C'!H126</f>
        <v>120341000</v>
      </c>
      <c r="I45" s="48">
        <f t="shared" si="10"/>
        <v>-50757904</v>
      </c>
      <c r="J45" s="201">
        <f t="shared" si="12"/>
        <v>-0.42178396390257683</v>
      </c>
      <c r="K45" s="656">
        <f>'C2C'!K126</f>
        <v>120341000</v>
      </c>
      <c r="L45" s="101"/>
      <c r="Q45" s="71"/>
    </row>
    <row r="46" spans="1:17" ht="12.75" customHeight="1">
      <c r="A46" s="423" t="str">
        <f t="shared" si="11"/>
        <v>Waste water management</v>
      </c>
      <c r="B46" s="433"/>
      <c r="C46" s="657">
        <f>'C2C'!C129</f>
        <v>0</v>
      </c>
      <c r="D46" s="685">
        <f>'C2C'!D129</f>
        <v>0</v>
      </c>
      <c r="E46" s="686">
        <f>'C2C'!E129</f>
        <v>0</v>
      </c>
      <c r="F46" s="686">
        <f>'C2C'!F129</f>
        <v>0</v>
      </c>
      <c r="G46" s="686">
        <f>'C2C'!G129</f>
        <v>0</v>
      </c>
      <c r="H46" s="686">
        <f>'C2C'!H129</f>
        <v>0</v>
      </c>
      <c r="I46" s="48">
        <f t="shared" si="10"/>
        <v>0</v>
      </c>
      <c r="J46" s="201" t="str">
        <f t="shared" si="12"/>
        <v/>
      </c>
      <c r="K46" s="687">
        <f>'C2C'!K129</f>
        <v>0</v>
      </c>
      <c r="L46" s="101"/>
      <c r="Q46" s="71"/>
    </row>
    <row r="47" spans="1:17" ht="12.75" customHeight="1">
      <c r="A47" s="423" t="str">
        <f t="shared" si="11"/>
        <v>Waste management</v>
      </c>
      <c r="B47" s="433"/>
      <c r="C47" s="656">
        <f>'C2C'!C133</f>
        <v>0</v>
      </c>
      <c r="D47" s="684">
        <f>'C2C'!D133</f>
        <v>40608221.189999998</v>
      </c>
      <c r="E47" s="415">
        <f>'C2C'!E133</f>
        <v>0</v>
      </c>
      <c r="F47" s="415">
        <f>'C2C'!F133</f>
        <v>3415000</v>
      </c>
      <c r="G47" s="415">
        <f>'C2C'!G133</f>
        <v>20101000</v>
      </c>
      <c r="H47" s="415">
        <f>'C2C'!H133</f>
        <v>40608221.189999998</v>
      </c>
      <c r="I47" s="48">
        <f t="shared" si="10"/>
        <v>-20507221.189999998</v>
      </c>
      <c r="J47" s="201">
        <f t="shared" si="12"/>
        <v>-0.50500171120644943</v>
      </c>
      <c r="K47" s="656">
        <f>'C2C'!K133</f>
        <v>40608221.189999998</v>
      </c>
      <c r="L47" s="101"/>
      <c r="Q47" s="71"/>
    </row>
    <row r="48" spans="1:17" ht="12.75" customHeight="1">
      <c r="A48" s="421" t="str">
        <f t="shared" si="11"/>
        <v>Other</v>
      </c>
      <c r="B48" s="433"/>
      <c r="C48" s="655">
        <f>'C2C'!C135</f>
        <v>0</v>
      </c>
      <c r="D48" s="683">
        <f>'C2C'!D135</f>
        <v>2782007.99</v>
      </c>
      <c r="E48" s="651">
        <f>'C2C'!E135</f>
        <v>0</v>
      </c>
      <c r="F48" s="651">
        <f>'C2C'!F135</f>
        <v>34000</v>
      </c>
      <c r="G48" s="651">
        <f>'C2C'!G135</f>
        <v>239000</v>
      </c>
      <c r="H48" s="651">
        <f>'C2C'!H135</f>
        <v>2782007.99</v>
      </c>
      <c r="I48" s="103">
        <f t="shared" si="10"/>
        <v>-2543007.9900000002</v>
      </c>
      <c r="J48" s="731">
        <f t="shared" si="12"/>
        <v>-0.91409082904898487</v>
      </c>
      <c r="K48" s="655">
        <f>'C2C'!K135</f>
        <v>2782007.99</v>
      </c>
      <c r="L48" s="101"/>
      <c r="Q48" s="71"/>
    </row>
    <row r="49" spans="1:17" ht="12.75" customHeight="1">
      <c r="A49" s="93" t="s">
        <v>660</v>
      </c>
      <c r="B49" s="429">
        <v>3</v>
      </c>
      <c r="C49" s="614">
        <f>C29+C33+C39+C43+C48</f>
        <v>0</v>
      </c>
      <c r="D49" s="612">
        <f t="shared" ref="D49:I49" si="16">D29+D33+D39+D43+D48</f>
        <v>1153147766.8629999</v>
      </c>
      <c r="E49" s="553">
        <f t="shared" si="16"/>
        <v>0</v>
      </c>
      <c r="F49" s="553">
        <f t="shared" si="16"/>
        <v>63788775</v>
      </c>
      <c r="G49" s="553">
        <f t="shared" si="16"/>
        <v>599219013</v>
      </c>
      <c r="H49" s="553">
        <f t="shared" si="16"/>
        <v>1153147766.8629999</v>
      </c>
      <c r="I49" s="553">
        <f t="shared" si="16"/>
        <v>-553928753.86300004</v>
      </c>
      <c r="J49" s="613">
        <f t="shared" si="12"/>
        <v>-0.48036233497628555</v>
      </c>
      <c r="K49" s="739">
        <f>K29+K33+K39+K43+K48</f>
        <v>1153147766.8629999</v>
      </c>
      <c r="L49" s="101"/>
      <c r="Q49" s="76"/>
    </row>
    <row r="50" spans="1:17" ht="12.75" customHeight="1">
      <c r="A50" s="95" t="s">
        <v>1080</v>
      </c>
      <c r="B50" s="436"/>
      <c r="C50" s="548">
        <f t="shared" ref="C50:H50" si="17">C26-C49</f>
        <v>0</v>
      </c>
      <c r="D50" s="654">
        <f t="shared" si="17"/>
        <v>617711.17700004578</v>
      </c>
      <c r="E50" s="648">
        <f t="shared" si="17"/>
        <v>0</v>
      </c>
      <c r="F50" s="648">
        <f t="shared" si="17"/>
        <v>-20323541.579999998</v>
      </c>
      <c r="G50" s="648">
        <f t="shared" si="17"/>
        <v>10354107.519999981</v>
      </c>
      <c r="H50" s="648">
        <f t="shared" si="17"/>
        <v>617711.17700004578</v>
      </c>
      <c r="I50" s="648">
        <f>I26-I49</f>
        <v>9736396.3430000544</v>
      </c>
      <c r="J50" s="652">
        <f>IF(I50=0,"",I50/H50)</f>
        <v>15.762053052505044</v>
      </c>
      <c r="K50" s="653">
        <f>K26-K49</f>
        <v>617711.17700004578</v>
      </c>
      <c r="L50" s="101"/>
    </row>
    <row r="51" spans="1:17" ht="11.25" customHeight="1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>
      <c r="A52" s="598" t="s">
        <v>173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>
      <c r="A53" s="61" t="s">
        <v>174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>
      <c r="A54" s="81" t="s">
        <v>753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>
      <c r="A55" s="986" t="s">
        <v>175</v>
      </c>
      <c r="B55" s="986"/>
      <c r="C55" s="986"/>
      <c r="D55" s="986"/>
      <c r="E55" s="986"/>
      <c r="F55" s="986"/>
      <c r="G55" s="986"/>
      <c r="H55" s="986"/>
      <c r="I55" s="986"/>
      <c r="J55" s="986"/>
      <c r="K55" s="986"/>
    </row>
    <row r="56" spans="1:17" ht="11.2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>
      <c r="A59" s="66"/>
      <c r="B59" s="65"/>
      <c r="C59" s="642"/>
      <c r="D59" s="642"/>
      <c r="E59" s="642"/>
      <c r="F59" s="642"/>
      <c r="G59" s="642"/>
      <c r="H59" s="642"/>
      <c r="I59" s="642"/>
      <c r="J59" s="642"/>
      <c r="K59" s="642"/>
    </row>
    <row r="60" spans="1:17" ht="11.25" customHeight="1">
      <c r="A60" s="66"/>
      <c r="B60" s="65"/>
      <c r="C60" s="642"/>
      <c r="D60" s="642"/>
      <c r="E60" s="642"/>
      <c r="F60" s="642"/>
      <c r="G60" s="642"/>
      <c r="H60" s="642"/>
      <c r="I60" s="642"/>
      <c r="J60" s="642"/>
      <c r="K60" s="642"/>
    </row>
    <row r="61" spans="1:17" ht="11.25" customHeight="1"/>
    <row r="62" spans="1:17" ht="11.25" customHeight="1"/>
    <row r="63" spans="1:17" ht="11.25" customHeight="1"/>
    <row r="64" spans="1:1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sheetProtection password="C646" sheet="1" objects="1" scenarios="1"/>
  <mergeCells count="4">
    <mergeCell ref="B2:B3"/>
    <mergeCell ref="A2:A3"/>
    <mergeCell ref="A1:K1"/>
    <mergeCell ref="A55:K55"/>
  </mergeCells>
  <phoneticPr fontId="3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view="pageBreakPreview" zoomScaleNormal="100" zoomScaleSheetLayoutView="100" workbookViewId="0">
      <pane xSplit="2" ySplit="4" topLeftCell="C113" activePane="bottomRight" state="frozen"/>
      <selection pane="topRight" activeCell="C1" sqref="C1"/>
      <selection pane="bottomLeft" activeCell="A5" sqref="A5"/>
      <selection pane="bottomRight" activeCell="F128" sqref="F128"/>
    </sheetView>
  </sheetViews>
  <sheetFormatPr defaultRowHeight="13.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700"/>
  </cols>
  <sheetData>
    <row r="1" spans="1:12">
      <c r="A1" s="985" t="str">
        <f>muni&amp; " - "&amp;S71A&amp; " - "&amp;date</f>
        <v>FS194 Maluti-a-Phofung - Table C2 Consolidated Monthly Budget Statement - Financial Performance (standard classification)  - M07 January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2" ht="13.5" customHeight="1">
      <c r="A2" s="983" t="str">
        <f>desc</f>
        <v>Description</v>
      </c>
      <c r="B2" s="981" t="str">
        <f>head27</f>
        <v>Ref</v>
      </c>
      <c r="C2" s="24" t="str">
        <f>Head1</f>
        <v>2012/13</v>
      </c>
      <c r="D2" s="232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2" ht="25.5">
      <c r="A3" s="984"/>
      <c r="B3" s="982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>
      <c r="A4" s="35" t="s">
        <v>821</v>
      </c>
      <c r="B4" s="432">
        <v>1</v>
      </c>
      <c r="C4" s="430"/>
      <c r="D4" s="241"/>
      <c r="E4" s="242"/>
      <c r="F4" s="83"/>
      <c r="G4" s="83"/>
      <c r="H4" s="83"/>
      <c r="I4" s="83"/>
      <c r="J4" s="243" t="s">
        <v>723</v>
      </c>
      <c r="K4" s="224"/>
    </row>
    <row r="5" spans="1:12">
      <c r="A5" s="557" t="s">
        <v>922</v>
      </c>
      <c r="B5" s="618"/>
      <c r="C5" s="37"/>
      <c r="D5" s="37"/>
      <c r="E5" s="37"/>
      <c r="F5" s="37"/>
      <c r="G5" s="37"/>
      <c r="H5" s="37"/>
      <c r="I5" s="645"/>
      <c r="J5" s="645"/>
      <c r="K5" s="227"/>
      <c r="L5" s="101"/>
    </row>
    <row r="6" spans="1:12">
      <c r="A6" s="421" t="s">
        <v>196</v>
      </c>
      <c r="B6" s="422"/>
      <c r="C6" s="619">
        <f>C7+C10+C11</f>
        <v>0</v>
      </c>
      <c r="D6" s="619">
        <f t="shared" ref="D6:K6" si="0">D7+D10+D11</f>
        <v>574458639.03999996</v>
      </c>
      <c r="E6" s="619">
        <f t="shared" si="0"/>
        <v>0</v>
      </c>
      <c r="F6" s="619">
        <f t="shared" si="0"/>
        <v>13790000</v>
      </c>
      <c r="G6" s="619">
        <f t="shared" si="0"/>
        <v>364755100</v>
      </c>
      <c r="H6" s="619">
        <f t="shared" si="0"/>
        <v>574458639.03999996</v>
      </c>
      <c r="I6" s="646">
        <f>G6-H6</f>
        <v>-209703539.03999996</v>
      </c>
      <c r="J6" s="647">
        <f>IF(I6=0,"",I6/H6)</f>
        <v>-0.36504549638324468</v>
      </c>
      <c r="K6" s="620">
        <f t="shared" si="0"/>
        <v>574458639.03999996</v>
      </c>
      <c r="L6" s="101"/>
    </row>
    <row r="7" spans="1:12">
      <c r="A7" s="621" t="s">
        <v>121</v>
      </c>
      <c r="B7" s="422"/>
      <c r="C7" s="622">
        <f>SUM(C8:C9)</f>
        <v>0</v>
      </c>
      <c r="D7" s="622">
        <f t="shared" ref="D7:K7" si="1">SUM(D8:D9)</f>
        <v>0</v>
      </c>
      <c r="E7" s="622">
        <f t="shared" si="1"/>
        <v>0</v>
      </c>
      <c r="F7" s="622">
        <f t="shared" si="1"/>
        <v>0</v>
      </c>
      <c r="G7" s="622">
        <f t="shared" si="1"/>
        <v>0</v>
      </c>
      <c r="H7" s="622">
        <f t="shared" si="1"/>
        <v>0</v>
      </c>
      <c r="I7" s="622">
        <f t="shared" ref="I7:I70" si="2">G7-H7</f>
        <v>0</v>
      </c>
      <c r="J7" s="622" t="str">
        <f t="shared" ref="J7:J70" si="3">IF(I7=0,"",I7/H7)</f>
        <v/>
      </c>
      <c r="K7" s="624">
        <f t="shared" si="1"/>
        <v>0</v>
      </c>
      <c r="L7" s="101"/>
    </row>
    <row r="8" spans="1:12">
      <c r="A8" s="710" t="s">
        <v>197</v>
      </c>
      <c r="B8" s="422"/>
      <c r="C8" s="752"/>
      <c r="D8" s="752"/>
      <c r="E8" s="752"/>
      <c r="F8" s="752"/>
      <c r="G8" s="752"/>
      <c r="H8" s="752"/>
      <c r="I8" s="415">
        <f t="shared" si="2"/>
        <v>0</v>
      </c>
      <c r="J8" s="415" t="str">
        <f t="shared" si="3"/>
        <v/>
      </c>
      <c r="K8" s="754"/>
      <c r="L8" s="101"/>
    </row>
    <row r="9" spans="1:12">
      <c r="A9" s="710" t="s">
        <v>198</v>
      </c>
      <c r="B9" s="422"/>
      <c r="C9" s="752"/>
      <c r="D9" s="752"/>
      <c r="E9" s="752"/>
      <c r="F9" s="752"/>
      <c r="G9" s="752"/>
      <c r="H9" s="752"/>
      <c r="I9" s="415">
        <f t="shared" si="2"/>
        <v>0</v>
      </c>
      <c r="J9" s="415" t="str">
        <f t="shared" si="3"/>
        <v/>
      </c>
      <c r="K9" s="754"/>
      <c r="L9" s="101"/>
    </row>
    <row r="10" spans="1:12">
      <c r="A10" s="621" t="s">
        <v>122</v>
      </c>
      <c r="B10" s="422"/>
      <c r="C10" s="753"/>
      <c r="D10" s="753">
        <f>1000000+348037000</f>
        <v>349037000</v>
      </c>
      <c r="E10" s="753"/>
      <c r="F10" s="753">
        <f>9000+45000</f>
        <v>54000</v>
      </c>
      <c r="G10" s="753">
        <f>145012000+1072000+381000+2751000+112731000+55100+9000+45000</f>
        <v>262056100</v>
      </c>
      <c r="H10" s="753">
        <v>1000000</v>
      </c>
      <c r="I10" s="622">
        <f t="shared" si="2"/>
        <v>261056100</v>
      </c>
      <c r="J10" s="622">
        <f t="shared" si="3"/>
        <v>261.05610000000001</v>
      </c>
      <c r="K10" s="753">
        <v>1000000</v>
      </c>
      <c r="L10" s="101"/>
    </row>
    <row r="11" spans="1:12">
      <c r="A11" s="621" t="s">
        <v>123</v>
      </c>
      <c r="B11" s="422"/>
      <c r="C11" s="622">
        <f>SUM(C12:C15)</f>
        <v>0</v>
      </c>
      <c r="D11" s="622">
        <f t="shared" ref="D11:K11" si="4">SUM(D12:D15)</f>
        <v>225421639.03999996</v>
      </c>
      <c r="E11" s="622">
        <f t="shared" si="4"/>
        <v>0</v>
      </c>
      <c r="F11" s="622">
        <f t="shared" si="4"/>
        <v>13736000</v>
      </c>
      <c r="G11" s="622">
        <f t="shared" si="4"/>
        <v>102699000</v>
      </c>
      <c r="H11" s="622">
        <f t="shared" si="4"/>
        <v>573458639.03999996</v>
      </c>
      <c r="I11" s="622">
        <f t="shared" si="2"/>
        <v>-470759639.03999996</v>
      </c>
      <c r="J11" s="622">
        <f t="shared" si="3"/>
        <v>-0.82091297783581474</v>
      </c>
      <c r="K11" s="624">
        <f t="shared" si="4"/>
        <v>573458639.03999996</v>
      </c>
      <c r="L11" s="101"/>
    </row>
    <row r="12" spans="1:12">
      <c r="A12" s="710" t="s">
        <v>199</v>
      </c>
      <c r="B12" s="422"/>
      <c r="C12" s="752"/>
      <c r="D12" s="752"/>
      <c r="E12" s="752"/>
      <c r="F12" s="752"/>
      <c r="G12" s="752">
        <f>134000+338000</f>
        <v>472000</v>
      </c>
      <c r="H12" s="752"/>
      <c r="I12" s="415">
        <f t="shared" si="2"/>
        <v>472000</v>
      </c>
      <c r="J12" s="415" t="e">
        <f t="shared" si="3"/>
        <v>#DIV/0!</v>
      </c>
      <c r="K12" s="752"/>
      <c r="L12" s="101"/>
    </row>
    <row r="13" spans="1:12">
      <c r="A13" s="710" t="s">
        <v>200</v>
      </c>
      <c r="B13" s="422"/>
      <c r="C13" s="752"/>
      <c r="D13" s="752"/>
      <c r="E13" s="752"/>
      <c r="F13" s="752"/>
      <c r="G13" s="752"/>
      <c r="H13" s="752"/>
      <c r="I13" s="415">
        <f t="shared" si="2"/>
        <v>0</v>
      </c>
      <c r="J13" s="415" t="str">
        <f t="shared" si="3"/>
        <v/>
      </c>
      <c r="K13" s="752"/>
      <c r="L13" s="101"/>
    </row>
    <row r="14" spans="1:12">
      <c r="A14" s="710" t="s">
        <v>201</v>
      </c>
      <c r="B14" s="422"/>
      <c r="C14" s="752"/>
      <c r="D14" s="752">
        <f>573458639.04-348037000</f>
        <v>225421639.03999996</v>
      </c>
      <c r="E14" s="752"/>
      <c r="F14" s="752">
        <f>13736000</f>
        <v>13736000</v>
      </c>
      <c r="G14" s="752">
        <f>20119000+12892000+15172000+12720000+13660000+13738000+13736000</f>
        <v>102037000</v>
      </c>
      <c r="H14" s="752">
        <v>573458639.03999996</v>
      </c>
      <c r="I14" s="415">
        <f t="shared" si="2"/>
        <v>-471421639.03999996</v>
      </c>
      <c r="J14" s="415">
        <f t="shared" si="3"/>
        <v>-0.82206737669727092</v>
      </c>
      <c r="K14" s="752">
        <v>573458639.03999996</v>
      </c>
      <c r="L14" s="101"/>
    </row>
    <row r="15" spans="1:12">
      <c r="A15" s="710" t="s">
        <v>202</v>
      </c>
      <c r="B15" s="422"/>
      <c r="C15" s="752"/>
      <c r="D15" s="752"/>
      <c r="E15" s="752"/>
      <c r="F15" s="752"/>
      <c r="G15" s="752">
        <f>33000+60000+65000+32000</f>
        <v>190000</v>
      </c>
      <c r="H15" s="752"/>
      <c r="I15" s="415">
        <f t="shared" si="2"/>
        <v>190000</v>
      </c>
      <c r="J15" s="415" t="e">
        <f t="shared" si="3"/>
        <v>#DIV/0!</v>
      </c>
      <c r="K15" s="752"/>
      <c r="L15" s="101"/>
    </row>
    <row r="16" spans="1:12">
      <c r="A16" s="421" t="s">
        <v>124</v>
      </c>
      <c r="B16" s="422"/>
      <c r="C16" s="619">
        <f>C17+C26+C27+C33+C34</f>
        <v>0</v>
      </c>
      <c r="D16" s="619">
        <f t="shared" ref="D16:K16" si="5">D17+D26+D27+D33+D34</f>
        <v>5497046</v>
      </c>
      <c r="E16" s="619">
        <f t="shared" si="5"/>
        <v>0</v>
      </c>
      <c r="F16" s="619">
        <f t="shared" si="5"/>
        <v>103112.3</v>
      </c>
      <c r="G16" s="619">
        <f t="shared" si="5"/>
        <v>1617662.5</v>
      </c>
      <c r="H16" s="619">
        <f t="shared" si="5"/>
        <v>5497046</v>
      </c>
      <c r="I16" s="619">
        <f t="shared" si="2"/>
        <v>-3879383.5</v>
      </c>
      <c r="J16" s="619">
        <f t="shared" si="3"/>
        <v>-0.70572149114269733</v>
      </c>
      <c r="K16" s="620">
        <f t="shared" si="5"/>
        <v>5497046</v>
      </c>
      <c r="L16" s="101"/>
    </row>
    <row r="17" spans="1:12">
      <c r="A17" s="621" t="s">
        <v>125</v>
      </c>
      <c r="B17" s="422"/>
      <c r="C17" s="625">
        <f>SUM(C18:C25)</f>
        <v>0</v>
      </c>
      <c r="D17" s="625">
        <f t="shared" ref="D17:K17" si="6">SUM(D18:D25)</f>
        <v>62291</v>
      </c>
      <c r="E17" s="625">
        <f t="shared" si="6"/>
        <v>0</v>
      </c>
      <c r="F17" s="625">
        <f t="shared" si="6"/>
        <v>1112.3</v>
      </c>
      <c r="G17" s="625">
        <f t="shared" si="6"/>
        <v>30662.5</v>
      </c>
      <c r="H17" s="625">
        <f t="shared" si="6"/>
        <v>62291</v>
      </c>
      <c r="I17" s="625">
        <f t="shared" si="2"/>
        <v>-31628.5</v>
      </c>
      <c r="J17" s="625">
        <f t="shared" si="3"/>
        <v>-0.50775392913904094</v>
      </c>
      <c r="K17" s="628">
        <f t="shared" si="6"/>
        <v>62291</v>
      </c>
      <c r="L17" s="101"/>
    </row>
    <row r="18" spans="1:12">
      <c r="A18" s="710" t="s">
        <v>203</v>
      </c>
      <c r="B18" s="422"/>
      <c r="C18" s="752"/>
      <c r="D18" s="752">
        <v>7166</v>
      </c>
      <c r="E18" s="752"/>
      <c r="F18" s="761">
        <v>46.52</v>
      </c>
      <c r="G18" s="752">
        <f>1000+52.67+61.46+400.08+35.99+46.52</f>
        <v>1596.72</v>
      </c>
      <c r="H18" s="752">
        <v>7166</v>
      </c>
      <c r="I18" s="415">
        <f t="shared" si="2"/>
        <v>-5569.28</v>
      </c>
      <c r="J18" s="415">
        <f t="shared" si="3"/>
        <v>-0.7771811331286631</v>
      </c>
      <c r="K18" s="752">
        <v>7166</v>
      </c>
      <c r="L18" s="101"/>
    </row>
    <row r="19" spans="1:12">
      <c r="A19" s="710" t="s">
        <v>204</v>
      </c>
      <c r="B19" s="422"/>
      <c r="C19" s="752"/>
      <c r="D19" s="752"/>
      <c r="E19" s="752"/>
      <c r="F19" s="752"/>
      <c r="G19" s="752"/>
      <c r="H19" s="752"/>
      <c r="I19" s="415">
        <f t="shared" si="2"/>
        <v>0</v>
      </c>
      <c r="J19" s="415" t="str">
        <f t="shared" si="3"/>
        <v/>
      </c>
      <c r="K19" s="752"/>
      <c r="L19" s="101"/>
    </row>
    <row r="20" spans="1:12">
      <c r="A20" s="710" t="s">
        <v>205</v>
      </c>
      <c r="B20" s="422"/>
      <c r="C20" s="752"/>
      <c r="D20" s="752">
        <v>55125</v>
      </c>
      <c r="E20" s="752"/>
      <c r="F20" s="752">
        <v>1065.78</v>
      </c>
      <c r="G20" s="752">
        <f>4000+4000+6000+3000+8000+3000+1065.78</f>
        <v>29065.78</v>
      </c>
      <c r="H20" s="752">
        <v>55125</v>
      </c>
      <c r="I20" s="415">
        <f t="shared" si="2"/>
        <v>-26059.22</v>
      </c>
      <c r="J20" s="415">
        <f t="shared" si="3"/>
        <v>-0.4727296145124717</v>
      </c>
      <c r="K20" s="752">
        <v>55125</v>
      </c>
      <c r="L20" s="101"/>
    </row>
    <row r="21" spans="1:12">
      <c r="A21" s="710" t="s">
        <v>206</v>
      </c>
      <c r="B21" s="422"/>
      <c r="C21" s="752"/>
      <c r="D21" s="752">
        <v>0</v>
      </c>
      <c r="E21" s="752"/>
      <c r="F21" s="752"/>
      <c r="G21" s="752"/>
      <c r="H21" s="752">
        <v>0</v>
      </c>
      <c r="I21" s="415">
        <f t="shared" si="2"/>
        <v>0</v>
      </c>
      <c r="J21" s="415" t="str">
        <f t="shared" si="3"/>
        <v/>
      </c>
      <c r="K21" s="752">
        <v>0</v>
      </c>
      <c r="L21" s="101"/>
    </row>
    <row r="22" spans="1:12">
      <c r="A22" s="710" t="s">
        <v>207</v>
      </c>
      <c r="B22" s="422"/>
      <c r="C22" s="752"/>
      <c r="D22" s="752"/>
      <c r="E22" s="752"/>
      <c r="F22" s="752"/>
      <c r="G22" s="752"/>
      <c r="H22" s="752"/>
      <c r="I22" s="415">
        <f t="shared" si="2"/>
        <v>0</v>
      </c>
      <c r="J22" s="415" t="str">
        <f t="shared" si="3"/>
        <v/>
      </c>
      <c r="K22" s="752"/>
      <c r="L22" s="101"/>
    </row>
    <row r="23" spans="1:12">
      <c r="A23" s="710" t="s">
        <v>208</v>
      </c>
      <c r="B23" s="422"/>
      <c r="C23" s="752"/>
      <c r="D23" s="752"/>
      <c r="E23" s="752"/>
      <c r="F23" s="752"/>
      <c r="G23" s="752"/>
      <c r="H23" s="752"/>
      <c r="I23" s="415">
        <f t="shared" si="2"/>
        <v>0</v>
      </c>
      <c r="J23" s="415" t="str">
        <f t="shared" si="3"/>
        <v/>
      </c>
      <c r="K23" s="752"/>
      <c r="L23" s="101"/>
    </row>
    <row r="24" spans="1:12">
      <c r="A24" s="710" t="s">
        <v>209</v>
      </c>
      <c r="B24" s="422"/>
      <c r="C24" s="752"/>
      <c r="D24" s="752"/>
      <c r="E24" s="752"/>
      <c r="F24" s="752"/>
      <c r="G24" s="752"/>
      <c r="H24" s="752"/>
      <c r="I24" s="415">
        <f t="shared" si="2"/>
        <v>0</v>
      </c>
      <c r="J24" s="415" t="str">
        <f t="shared" si="3"/>
        <v/>
      </c>
      <c r="K24" s="752"/>
      <c r="L24" s="101"/>
    </row>
    <row r="25" spans="1:12">
      <c r="A25" s="710" t="s">
        <v>210</v>
      </c>
      <c r="B25" s="422"/>
      <c r="C25" s="752"/>
      <c r="D25" s="752"/>
      <c r="E25" s="752"/>
      <c r="F25" s="752"/>
      <c r="G25" s="752"/>
      <c r="H25" s="752"/>
      <c r="I25" s="415">
        <f t="shared" si="2"/>
        <v>0</v>
      </c>
      <c r="J25" s="415" t="str">
        <f t="shared" si="3"/>
        <v/>
      </c>
      <c r="K25" s="752"/>
      <c r="L25" s="101"/>
    </row>
    <row r="26" spans="1:12">
      <c r="A26" s="621" t="s">
        <v>126</v>
      </c>
      <c r="B26" s="422"/>
      <c r="C26" s="752"/>
      <c r="D26" s="752">
        <v>1585875</v>
      </c>
      <c r="E26" s="752"/>
      <c r="F26" s="752">
        <f>52000</f>
        <v>52000</v>
      </c>
      <c r="G26" s="752">
        <f>44000+42000+124000+39000+65000+325000+52000</f>
        <v>691000</v>
      </c>
      <c r="H26" s="752">
        <v>1585875</v>
      </c>
      <c r="I26" s="415">
        <f t="shared" si="2"/>
        <v>-894875</v>
      </c>
      <c r="J26" s="415">
        <f t="shared" si="3"/>
        <v>-0.56427839520769296</v>
      </c>
      <c r="K26" s="752">
        <v>1585875</v>
      </c>
      <c r="L26" s="101"/>
    </row>
    <row r="27" spans="1:12">
      <c r="A27" s="621" t="s">
        <v>127</v>
      </c>
      <c r="B27" s="422"/>
      <c r="C27" s="625">
        <f>SUM(C28:C32)</f>
        <v>0</v>
      </c>
      <c r="D27" s="625">
        <f t="shared" ref="D27:K27" si="7">SUM(D28:D32)</f>
        <v>3348880</v>
      </c>
      <c r="E27" s="625">
        <f t="shared" si="7"/>
        <v>0</v>
      </c>
      <c r="F27" s="625">
        <f t="shared" si="7"/>
        <v>50000</v>
      </c>
      <c r="G27" s="625">
        <f t="shared" si="7"/>
        <v>896000</v>
      </c>
      <c r="H27" s="625">
        <f t="shared" si="7"/>
        <v>3348880</v>
      </c>
      <c r="I27" s="625">
        <f t="shared" si="2"/>
        <v>-2452880</v>
      </c>
      <c r="J27" s="625">
        <f t="shared" si="3"/>
        <v>-0.73244786316619293</v>
      </c>
      <c r="K27" s="628">
        <f t="shared" si="7"/>
        <v>3348880</v>
      </c>
      <c r="L27" s="101"/>
    </row>
    <row r="28" spans="1:12">
      <c r="A28" s="710" t="s">
        <v>211</v>
      </c>
      <c r="B28" s="422"/>
      <c r="C28" s="752"/>
      <c r="D28" s="752"/>
      <c r="E28" s="752"/>
      <c r="F28" s="752"/>
      <c r="G28" s="752"/>
      <c r="H28" s="752"/>
      <c r="I28" s="415">
        <f t="shared" si="2"/>
        <v>0</v>
      </c>
      <c r="J28" s="415" t="str">
        <f t="shared" si="3"/>
        <v/>
      </c>
      <c r="K28" s="752"/>
      <c r="L28" s="101"/>
    </row>
    <row r="29" spans="1:12">
      <c r="A29" s="710" t="s">
        <v>212</v>
      </c>
      <c r="B29" s="422"/>
      <c r="C29" s="752"/>
      <c r="D29" s="752">
        <v>244855</v>
      </c>
      <c r="E29" s="752"/>
      <c r="F29" s="752">
        <v>6000</v>
      </c>
      <c r="G29" s="752">
        <f>79000+11000+22000+13000+37000+52000+6000</f>
        <v>220000</v>
      </c>
      <c r="H29" s="752">
        <v>244855</v>
      </c>
      <c r="I29" s="415">
        <f t="shared" si="2"/>
        <v>-24855</v>
      </c>
      <c r="J29" s="415">
        <f t="shared" si="3"/>
        <v>-0.10150905638030672</v>
      </c>
      <c r="K29" s="752">
        <v>244855</v>
      </c>
      <c r="L29" s="101"/>
    </row>
    <row r="30" spans="1:12">
      <c r="A30" s="710" t="s">
        <v>213</v>
      </c>
      <c r="B30" s="422"/>
      <c r="C30" s="752"/>
      <c r="D30" s="752"/>
      <c r="E30" s="752"/>
      <c r="F30" s="752"/>
      <c r="G30" s="752"/>
      <c r="H30" s="752"/>
      <c r="I30" s="415">
        <f t="shared" si="2"/>
        <v>0</v>
      </c>
      <c r="J30" s="415" t="str">
        <f t="shared" si="3"/>
        <v/>
      </c>
      <c r="K30" s="752"/>
      <c r="L30" s="101"/>
    </row>
    <row r="31" spans="1:12">
      <c r="A31" s="710" t="s">
        <v>605</v>
      </c>
      <c r="B31" s="422"/>
      <c r="C31" s="752"/>
      <c r="D31" s="752"/>
      <c r="E31" s="752"/>
      <c r="F31" s="752"/>
      <c r="G31" s="752"/>
      <c r="H31" s="752"/>
      <c r="I31" s="415">
        <f t="shared" si="2"/>
        <v>0</v>
      </c>
      <c r="J31" s="415" t="str">
        <f t="shared" si="3"/>
        <v/>
      </c>
      <c r="K31" s="752"/>
      <c r="L31" s="101"/>
    </row>
    <row r="32" spans="1:12">
      <c r="A32" s="710" t="s">
        <v>883</v>
      </c>
      <c r="B32" s="422"/>
      <c r="C32" s="752"/>
      <c r="D32" s="752">
        <v>3104025</v>
      </c>
      <c r="E32" s="752"/>
      <c r="F32" s="752">
        <f>44000</f>
        <v>44000</v>
      </c>
      <c r="G32" s="752">
        <f>193000+112000+105000+42000+128000+52000+44000</f>
        <v>676000</v>
      </c>
      <c r="H32" s="752">
        <v>3104025</v>
      </c>
      <c r="I32" s="415">
        <f t="shared" si="2"/>
        <v>-2428025</v>
      </c>
      <c r="J32" s="415">
        <f t="shared" si="3"/>
        <v>-0.78221824888652636</v>
      </c>
      <c r="K32" s="752">
        <v>3104025</v>
      </c>
      <c r="L32" s="101"/>
    </row>
    <row r="33" spans="1:12">
      <c r="A33" s="621" t="s">
        <v>876</v>
      </c>
      <c r="B33" s="422"/>
      <c r="C33" s="756"/>
      <c r="D33" s="756">
        <v>500000</v>
      </c>
      <c r="E33" s="756"/>
      <c r="F33" s="756"/>
      <c r="G33" s="756"/>
      <c r="H33" s="756">
        <v>500000</v>
      </c>
      <c r="I33" s="625">
        <f t="shared" si="2"/>
        <v>-500000</v>
      </c>
      <c r="J33" s="625">
        <f t="shared" si="3"/>
        <v>-1</v>
      </c>
      <c r="K33" s="756">
        <v>500000</v>
      </c>
      <c r="L33" s="101"/>
    </row>
    <row r="34" spans="1:12">
      <c r="A34" s="621" t="s">
        <v>762</v>
      </c>
      <c r="B34" s="422"/>
      <c r="C34" s="625">
        <f>SUM(C35:C37)</f>
        <v>0</v>
      </c>
      <c r="D34" s="625">
        <f t="shared" ref="D34:K34" si="8">SUM(D35:D37)</f>
        <v>0</v>
      </c>
      <c r="E34" s="625">
        <f t="shared" si="8"/>
        <v>0</v>
      </c>
      <c r="F34" s="625">
        <f t="shared" si="8"/>
        <v>0</v>
      </c>
      <c r="G34" s="625">
        <f t="shared" si="8"/>
        <v>0</v>
      </c>
      <c r="H34" s="625">
        <f t="shared" si="8"/>
        <v>0</v>
      </c>
      <c r="I34" s="625">
        <f t="shared" si="2"/>
        <v>0</v>
      </c>
      <c r="J34" s="625" t="str">
        <f t="shared" si="3"/>
        <v/>
      </c>
      <c r="K34" s="628">
        <f t="shared" si="8"/>
        <v>0</v>
      </c>
      <c r="L34" s="101"/>
    </row>
    <row r="35" spans="1:12">
      <c r="A35" s="710" t="s">
        <v>954</v>
      </c>
      <c r="B35" s="422"/>
      <c r="C35" s="752"/>
      <c r="D35" s="752"/>
      <c r="E35" s="752"/>
      <c r="F35" s="752"/>
      <c r="G35" s="752"/>
      <c r="H35" s="752"/>
      <c r="I35" s="415">
        <f t="shared" si="2"/>
        <v>0</v>
      </c>
      <c r="J35" s="415" t="str">
        <f t="shared" si="3"/>
        <v/>
      </c>
      <c r="K35" s="754"/>
      <c r="L35" s="101"/>
    </row>
    <row r="36" spans="1:12">
      <c r="A36" s="710" t="s">
        <v>648</v>
      </c>
      <c r="B36" s="422"/>
      <c r="C36" s="752"/>
      <c r="D36" s="752"/>
      <c r="E36" s="752"/>
      <c r="F36" s="752"/>
      <c r="G36" s="752"/>
      <c r="H36" s="752"/>
      <c r="I36" s="415">
        <f t="shared" si="2"/>
        <v>0</v>
      </c>
      <c r="J36" s="415" t="str">
        <f t="shared" si="3"/>
        <v/>
      </c>
      <c r="K36" s="754"/>
      <c r="L36" s="101"/>
    </row>
    <row r="37" spans="1:12">
      <c r="A37" s="710" t="s">
        <v>214</v>
      </c>
      <c r="B37" s="422"/>
      <c r="C37" s="752"/>
      <c r="D37" s="752"/>
      <c r="E37" s="752"/>
      <c r="F37" s="752"/>
      <c r="G37" s="752"/>
      <c r="H37" s="752"/>
      <c r="I37" s="415">
        <f t="shared" si="2"/>
        <v>0</v>
      </c>
      <c r="J37" s="415" t="str">
        <f t="shared" si="3"/>
        <v/>
      </c>
      <c r="K37" s="754"/>
      <c r="L37" s="101"/>
    </row>
    <row r="38" spans="1:12">
      <c r="A38" s="421" t="s">
        <v>128</v>
      </c>
      <c r="B38" s="424"/>
      <c r="C38" s="619">
        <f>C39+C43+C49</f>
        <v>0</v>
      </c>
      <c r="D38" s="619">
        <f t="shared" ref="D38:K38" si="9">D39+D43+D49</f>
        <v>909745</v>
      </c>
      <c r="E38" s="619">
        <f t="shared" si="9"/>
        <v>0</v>
      </c>
      <c r="F38" s="619">
        <f t="shared" si="9"/>
        <v>27000</v>
      </c>
      <c r="G38" s="619">
        <f t="shared" si="9"/>
        <v>305000</v>
      </c>
      <c r="H38" s="619">
        <f t="shared" si="9"/>
        <v>909745</v>
      </c>
      <c r="I38" s="619">
        <f t="shared" si="2"/>
        <v>-604745</v>
      </c>
      <c r="J38" s="619">
        <f t="shared" si="3"/>
        <v>-0.66474121869315028</v>
      </c>
      <c r="K38" s="620">
        <f t="shared" si="9"/>
        <v>909745</v>
      </c>
      <c r="L38" s="101"/>
    </row>
    <row r="39" spans="1:12">
      <c r="A39" s="621" t="s">
        <v>129</v>
      </c>
      <c r="B39" s="424"/>
      <c r="C39" s="625">
        <f>SUM(C40:C42)</f>
        <v>0</v>
      </c>
      <c r="D39" s="625">
        <f t="shared" ref="D39:K39" si="10">SUM(D40:D42)</f>
        <v>909745</v>
      </c>
      <c r="E39" s="625">
        <f t="shared" si="10"/>
        <v>0</v>
      </c>
      <c r="F39" s="625">
        <f t="shared" si="10"/>
        <v>27000</v>
      </c>
      <c r="G39" s="625">
        <f t="shared" si="10"/>
        <v>305000</v>
      </c>
      <c r="H39" s="625">
        <f t="shared" si="10"/>
        <v>909745</v>
      </c>
      <c r="I39" s="625">
        <f t="shared" si="2"/>
        <v>-604745</v>
      </c>
      <c r="J39" s="625">
        <f t="shared" si="3"/>
        <v>-0.66474121869315028</v>
      </c>
      <c r="K39" s="628">
        <f t="shared" si="10"/>
        <v>909745</v>
      </c>
      <c r="L39" s="101"/>
    </row>
    <row r="40" spans="1:12">
      <c r="A40" s="710" t="s">
        <v>215</v>
      </c>
      <c r="B40" s="424"/>
      <c r="C40" s="752"/>
      <c r="D40" s="752"/>
      <c r="E40" s="752"/>
      <c r="F40" s="752"/>
      <c r="G40" s="752"/>
      <c r="H40" s="752"/>
      <c r="I40" s="415">
        <f t="shared" si="2"/>
        <v>0</v>
      </c>
      <c r="J40" s="415" t="str">
        <f t="shared" si="3"/>
        <v/>
      </c>
      <c r="K40" s="752"/>
      <c r="L40" s="101"/>
    </row>
    <row r="41" spans="1:12" ht="22.5">
      <c r="A41" s="710" t="s">
        <v>216</v>
      </c>
      <c r="B41" s="424"/>
      <c r="C41" s="752"/>
      <c r="D41" s="752">
        <v>909745</v>
      </c>
      <c r="E41" s="752"/>
      <c r="F41" s="752">
        <f>27000</f>
        <v>27000</v>
      </c>
      <c r="G41" s="752">
        <f>94000+29000+28000+82000+34000+11000+27000</f>
        <v>305000</v>
      </c>
      <c r="H41" s="752">
        <v>909745</v>
      </c>
      <c r="I41" s="415">
        <f t="shared" si="2"/>
        <v>-604745</v>
      </c>
      <c r="J41" s="415">
        <f t="shared" si="3"/>
        <v>-0.66474121869315028</v>
      </c>
      <c r="K41" s="752">
        <v>909745</v>
      </c>
      <c r="L41" s="101"/>
    </row>
    <row r="42" spans="1:12">
      <c r="A42" s="710" t="s">
        <v>217</v>
      </c>
      <c r="B42" s="424"/>
      <c r="C42" s="752"/>
      <c r="D42" s="752"/>
      <c r="E42" s="752"/>
      <c r="F42" s="752"/>
      <c r="G42" s="752"/>
      <c r="H42" s="752"/>
      <c r="I42" s="415">
        <f t="shared" si="2"/>
        <v>0</v>
      </c>
      <c r="J42" s="415" t="str">
        <f t="shared" si="3"/>
        <v/>
      </c>
      <c r="K42" s="752"/>
      <c r="L42" s="101"/>
    </row>
    <row r="43" spans="1:12">
      <c r="A43" s="621" t="s">
        <v>130</v>
      </c>
      <c r="B43" s="424"/>
      <c r="C43" s="625">
        <f>SUM(C44:C48)</f>
        <v>0</v>
      </c>
      <c r="D43" s="625">
        <f t="shared" ref="D43:K43" si="11">SUM(D44:D48)</f>
        <v>0</v>
      </c>
      <c r="E43" s="625">
        <f t="shared" si="11"/>
        <v>0</v>
      </c>
      <c r="F43" s="625">
        <f t="shared" si="11"/>
        <v>0</v>
      </c>
      <c r="G43" s="625">
        <f t="shared" si="11"/>
        <v>0</v>
      </c>
      <c r="H43" s="625">
        <f t="shared" si="11"/>
        <v>0</v>
      </c>
      <c r="I43" s="625">
        <f t="shared" si="2"/>
        <v>0</v>
      </c>
      <c r="J43" s="625" t="str">
        <f t="shared" si="3"/>
        <v/>
      </c>
      <c r="K43" s="628">
        <f t="shared" si="11"/>
        <v>0</v>
      </c>
      <c r="L43" s="101"/>
    </row>
    <row r="44" spans="1:12">
      <c r="A44" s="710" t="s">
        <v>218</v>
      </c>
      <c r="B44" s="424"/>
      <c r="C44" s="752"/>
      <c r="D44" s="752"/>
      <c r="E44" s="752"/>
      <c r="F44" s="752"/>
      <c r="G44" s="752"/>
      <c r="H44" s="752"/>
      <c r="I44" s="415">
        <f t="shared" si="2"/>
        <v>0</v>
      </c>
      <c r="J44" s="415" t="str">
        <f t="shared" si="3"/>
        <v/>
      </c>
      <c r="K44" s="754"/>
      <c r="L44" s="101"/>
    </row>
    <row r="45" spans="1:12">
      <c r="A45" s="710" t="s">
        <v>219</v>
      </c>
      <c r="B45" s="424"/>
      <c r="C45" s="752"/>
      <c r="D45" s="752"/>
      <c r="E45" s="752"/>
      <c r="F45" s="752"/>
      <c r="G45" s="752"/>
      <c r="H45" s="752"/>
      <c r="I45" s="415">
        <f t="shared" si="2"/>
        <v>0</v>
      </c>
      <c r="J45" s="415" t="str">
        <f t="shared" si="3"/>
        <v/>
      </c>
      <c r="K45" s="754"/>
      <c r="L45" s="101"/>
    </row>
    <row r="46" spans="1:12">
      <c r="A46" s="710" t="s">
        <v>220</v>
      </c>
      <c r="B46" s="424"/>
      <c r="C46" s="752"/>
      <c r="D46" s="752"/>
      <c r="E46" s="752"/>
      <c r="F46" s="752"/>
      <c r="G46" s="752"/>
      <c r="H46" s="752"/>
      <c r="I46" s="415">
        <f t="shared" si="2"/>
        <v>0</v>
      </c>
      <c r="J46" s="415" t="str">
        <f t="shared" si="3"/>
        <v/>
      </c>
      <c r="K46" s="754"/>
      <c r="L46" s="101"/>
    </row>
    <row r="47" spans="1:12">
      <c r="A47" s="710" t="s">
        <v>221</v>
      </c>
      <c r="B47" s="424"/>
      <c r="C47" s="752"/>
      <c r="D47" s="752"/>
      <c r="E47" s="752"/>
      <c r="F47" s="752"/>
      <c r="G47" s="752"/>
      <c r="H47" s="752"/>
      <c r="I47" s="415">
        <f t="shared" si="2"/>
        <v>0</v>
      </c>
      <c r="J47" s="415" t="str">
        <f t="shared" si="3"/>
        <v/>
      </c>
      <c r="K47" s="754"/>
      <c r="L47" s="101"/>
    </row>
    <row r="48" spans="1:12">
      <c r="A48" s="710" t="s">
        <v>883</v>
      </c>
      <c r="B48" s="424"/>
      <c r="C48" s="752"/>
      <c r="D48" s="752"/>
      <c r="E48" s="752"/>
      <c r="F48" s="752"/>
      <c r="G48" s="752"/>
      <c r="H48" s="752"/>
      <c r="I48" s="415">
        <f t="shared" si="2"/>
        <v>0</v>
      </c>
      <c r="J48" s="415" t="str">
        <f t="shared" si="3"/>
        <v/>
      </c>
      <c r="K48" s="754"/>
      <c r="L48" s="101"/>
    </row>
    <row r="49" spans="1:12">
      <c r="A49" s="621" t="s">
        <v>131</v>
      </c>
      <c r="B49" s="424"/>
      <c r="C49" s="625">
        <f>SUM(C50:C52)</f>
        <v>0</v>
      </c>
      <c r="D49" s="625">
        <f t="shared" ref="D49:K49" si="12">SUM(D50:D52)</f>
        <v>0</v>
      </c>
      <c r="E49" s="625">
        <f t="shared" si="12"/>
        <v>0</v>
      </c>
      <c r="F49" s="625">
        <f t="shared" si="12"/>
        <v>0</v>
      </c>
      <c r="G49" s="625">
        <f t="shared" si="12"/>
        <v>0</v>
      </c>
      <c r="H49" s="625">
        <f t="shared" si="12"/>
        <v>0</v>
      </c>
      <c r="I49" s="625">
        <f t="shared" si="2"/>
        <v>0</v>
      </c>
      <c r="J49" s="625" t="str">
        <f t="shared" si="3"/>
        <v/>
      </c>
      <c r="K49" s="628">
        <f t="shared" si="12"/>
        <v>0</v>
      </c>
      <c r="L49" s="101"/>
    </row>
    <row r="50" spans="1:12">
      <c r="A50" s="710" t="s">
        <v>222</v>
      </c>
      <c r="B50" s="424"/>
      <c r="C50" s="752"/>
      <c r="D50" s="752"/>
      <c r="E50" s="752"/>
      <c r="F50" s="752"/>
      <c r="G50" s="752"/>
      <c r="H50" s="752"/>
      <c r="I50" s="415">
        <f t="shared" si="2"/>
        <v>0</v>
      </c>
      <c r="J50" s="415" t="str">
        <f t="shared" si="3"/>
        <v/>
      </c>
      <c r="K50" s="754"/>
      <c r="L50" s="101"/>
    </row>
    <row r="51" spans="1:12">
      <c r="A51" s="710" t="s">
        <v>223</v>
      </c>
      <c r="B51" s="424"/>
      <c r="C51" s="752"/>
      <c r="D51" s="752"/>
      <c r="E51" s="752"/>
      <c r="F51" s="752"/>
      <c r="G51" s="752"/>
      <c r="H51" s="752"/>
      <c r="I51" s="415">
        <f t="shared" si="2"/>
        <v>0</v>
      </c>
      <c r="J51" s="415" t="str">
        <f t="shared" si="3"/>
        <v/>
      </c>
      <c r="K51" s="754"/>
      <c r="L51" s="101"/>
    </row>
    <row r="52" spans="1:12">
      <c r="A52" s="710" t="s">
        <v>883</v>
      </c>
      <c r="B52" s="424"/>
      <c r="C52" s="752"/>
      <c r="D52" s="752"/>
      <c r="E52" s="752"/>
      <c r="F52" s="752"/>
      <c r="G52" s="752"/>
      <c r="H52" s="752"/>
      <c r="I52" s="415">
        <f t="shared" si="2"/>
        <v>0</v>
      </c>
      <c r="J52" s="415" t="str">
        <f t="shared" si="3"/>
        <v/>
      </c>
      <c r="K52" s="754"/>
      <c r="L52" s="101"/>
    </row>
    <row r="53" spans="1:12">
      <c r="A53" s="421" t="s">
        <v>132</v>
      </c>
      <c r="B53" s="424"/>
      <c r="C53" s="619">
        <f>C54+C57+C60+C64</f>
        <v>0</v>
      </c>
      <c r="D53" s="619">
        <f t="shared" ref="D53:I53" si="13">D54+D57+D60+D64</f>
        <v>572900048</v>
      </c>
      <c r="E53" s="619">
        <f t="shared" si="13"/>
        <v>0</v>
      </c>
      <c r="F53" s="619">
        <f t="shared" si="13"/>
        <v>29545121.120000001</v>
      </c>
      <c r="G53" s="619">
        <f t="shared" si="13"/>
        <v>242895358.02000001</v>
      </c>
      <c r="H53" s="619">
        <f t="shared" si="13"/>
        <v>572900048</v>
      </c>
      <c r="I53" s="619">
        <f t="shared" si="13"/>
        <v>-330004689.98000002</v>
      </c>
      <c r="J53" s="619">
        <f t="shared" si="3"/>
        <v>-0.57602489497434994</v>
      </c>
      <c r="K53" s="620">
        <f>K54+K57+K60+K64</f>
        <v>572900048</v>
      </c>
      <c r="L53" s="101"/>
    </row>
    <row r="54" spans="1:12">
      <c r="A54" s="621" t="s">
        <v>770</v>
      </c>
      <c r="B54" s="424"/>
      <c r="C54" s="625">
        <f>SUM(C55:C56)</f>
        <v>0</v>
      </c>
      <c r="D54" s="625">
        <f t="shared" ref="D54:K54" si="14">SUM(D55:D56)</f>
        <v>367292860.5</v>
      </c>
      <c r="E54" s="625">
        <f t="shared" si="14"/>
        <v>0</v>
      </c>
      <c r="F54" s="625">
        <f t="shared" si="14"/>
        <v>20991327.260000002</v>
      </c>
      <c r="G54" s="625">
        <f t="shared" si="14"/>
        <v>148207380.59</v>
      </c>
      <c r="H54" s="625">
        <f t="shared" si="14"/>
        <v>367292860.5</v>
      </c>
      <c r="I54" s="625">
        <f t="shared" si="2"/>
        <v>-219085479.91</v>
      </c>
      <c r="J54" s="625">
        <f t="shared" si="3"/>
        <v>-0.59648717269308316</v>
      </c>
      <c r="K54" s="628">
        <f t="shared" si="14"/>
        <v>367292860.5</v>
      </c>
      <c r="L54" s="101"/>
    </row>
    <row r="55" spans="1:12">
      <c r="A55" s="710" t="s">
        <v>224</v>
      </c>
      <c r="B55" s="424"/>
      <c r="C55" s="752"/>
      <c r="D55" s="752">
        <v>367292860.5</v>
      </c>
      <c r="E55" s="752"/>
      <c r="F55" s="752">
        <f>17532000+14000+1158170.28+2287132.34+24.64</f>
        <v>20991327.260000002</v>
      </c>
      <c r="G55" s="752">
        <f>23550461.59+18125000+10000+3967000+25978000+8000+684515.18+1142479.93+1100523.53+2639993.97+14029000+8000+4242000+1098647.31+2693431.82+25966000+9000+1964000+17532000+14000+1158170.28+2287132.34+24.64</f>
        <v>148207380.59</v>
      </c>
      <c r="H55" s="752">
        <v>367292860.5</v>
      </c>
      <c r="I55" s="415">
        <f t="shared" si="2"/>
        <v>-219085479.91</v>
      </c>
      <c r="J55" s="415">
        <f t="shared" si="3"/>
        <v>-0.59648717269308316</v>
      </c>
      <c r="K55" s="752">
        <v>367292860.5</v>
      </c>
      <c r="L55" s="101"/>
    </row>
    <row r="56" spans="1:12">
      <c r="A56" s="710" t="s">
        <v>225</v>
      </c>
      <c r="B56" s="424"/>
      <c r="C56" s="752"/>
      <c r="D56" s="752"/>
      <c r="E56" s="752"/>
      <c r="F56" s="752"/>
      <c r="G56" s="752"/>
      <c r="H56" s="752"/>
      <c r="I56" s="415">
        <f t="shared" si="2"/>
        <v>0</v>
      </c>
      <c r="J56" s="415" t="str">
        <f t="shared" si="3"/>
        <v/>
      </c>
      <c r="K56" s="752"/>
      <c r="L56" s="101"/>
    </row>
    <row r="57" spans="1:12">
      <c r="A57" s="621" t="s">
        <v>541</v>
      </c>
      <c r="B57" s="424"/>
      <c r="C57" s="625">
        <f>SUM(C58:C59)</f>
        <v>0</v>
      </c>
      <c r="D57" s="625">
        <f t="shared" ref="D57:K57" si="15">SUM(D58:D59)</f>
        <v>166191000</v>
      </c>
      <c r="E57" s="625">
        <f t="shared" si="15"/>
        <v>0</v>
      </c>
      <c r="F57" s="625">
        <f t="shared" si="15"/>
        <v>4395633.66</v>
      </c>
      <c r="G57" s="625">
        <f t="shared" si="15"/>
        <v>66304550.470000014</v>
      </c>
      <c r="H57" s="625">
        <f t="shared" si="15"/>
        <v>166191000</v>
      </c>
      <c r="I57" s="625">
        <f t="shared" si="2"/>
        <v>-99886449.529999986</v>
      </c>
      <c r="J57" s="625">
        <f t="shared" si="3"/>
        <v>-0.6010340483540022</v>
      </c>
      <c r="K57" s="628">
        <f t="shared" si="15"/>
        <v>166191000</v>
      </c>
      <c r="L57" s="101"/>
    </row>
    <row r="58" spans="1:12">
      <c r="A58" s="710" t="s">
        <v>226</v>
      </c>
      <c r="B58" s="424"/>
      <c r="C58" s="752"/>
      <c r="D58" s="752">
        <v>120341000</v>
      </c>
      <c r="E58" s="752"/>
      <c r="F58" s="752">
        <v>638416.67000000004</v>
      </c>
      <c r="G58" s="752">
        <f>6198917+6476916.67+12954000+6477000+6476916.67+638416.67</f>
        <v>39222167.010000005</v>
      </c>
      <c r="H58" s="752">
        <v>120341000</v>
      </c>
      <c r="I58" s="415">
        <f t="shared" si="2"/>
        <v>-81118832.989999995</v>
      </c>
      <c r="J58" s="415">
        <f t="shared" si="3"/>
        <v>-0.67407477908609692</v>
      </c>
      <c r="K58" s="752">
        <v>120341000</v>
      </c>
      <c r="L58" s="101"/>
    </row>
    <row r="59" spans="1:12">
      <c r="A59" s="710" t="s">
        <v>227</v>
      </c>
      <c r="B59" s="424"/>
      <c r="C59" s="752"/>
      <c r="D59" s="752">
        <v>45850000</v>
      </c>
      <c r="E59" s="752"/>
      <c r="F59" s="752">
        <f>56383.12+3700833.87</f>
        <v>3757216.99</v>
      </c>
      <c r="G59" s="752">
        <f>4090179.62+2824850.69+91384.08+4380803.62+93689.15+3727260.59+83381.92+4649308.67+139843.92+3244464.21+56383.12+3700833.87</f>
        <v>27082383.460000008</v>
      </c>
      <c r="H59" s="752">
        <v>45850000</v>
      </c>
      <c r="I59" s="415">
        <f t="shared" si="2"/>
        <v>-18767616.539999992</v>
      </c>
      <c r="J59" s="415">
        <f t="shared" si="3"/>
        <v>-0.40932642399127572</v>
      </c>
      <c r="K59" s="752">
        <v>45850000</v>
      </c>
      <c r="L59" s="101"/>
    </row>
    <row r="60" spans="1:12">
      <c r="A60" s="621" t="s">
        <v>133</v>
      </c>
      <c r="B60" s="424"/>
      <c r="C60" s="625">
        <f>SUM(C61:C63)</f>
        <v>0</v>
      </c>
      <c r="D60" s="625">
        <f t="shared" ref="D60:K60" si="16">SUM(D61:D63)</f>
        <v>20150000</v>
      </c>
      <c r="E60" s="625">
        <f t="shared" si="16"/>
        <v>0</v>
      </c>
      <c r="F60" s="625">
        <f t="shared" si="16"/>
        <v>2386160.2000000002</v>
      </c>
      <c r="G60" s="625">
        <f t="shared" si="16"/>
        <v>16876426.960000001</v>
      </c>
      <c r="H60" s="625">
        <f t="shared" si="16"/>
        <v>20150000</v>
      </c>
      <c r="I60" s="625">
        <f t="shared" si="2"/>
        <v>-3273573.0399999991</v>
      </c>
      <c r="J60" s="625">
        <f t="shared" si="3"/>
        <v>-0.16246020049627788</v>
      </c>
      <c r="K60" s="628">
        <f t="shared" si="16"/>
        <v>20150000</v>
      </c>
      <c r="L60" s="101"/>
    </row>
    <row r="61" spans="1:12">
      <c r="A61" s="710" t="s">
        <v>228</v>
      </c>
      <c r="B61" s="424"/>
      <c r="C61" s="752"/>
      <c r="D61" s="752"/>
      <c r="E61" s="752"/>
      <c r="F61" s="752"/>
      <c r="G61" s="752"/>
      <c r="H61" s="752"/>
      <c r="I61" s="415">
        <f t="shared" si="2"/>
        <v>0</v>
      </c>
      <c r="J61" s="415" t="str">
        <f t="shared" si="3"/>
        <v/>
      </c>
      <c r="K61" s="752"/>
      <c r="L61" s="101"/>
    </row>
    <row r="62" spans="1:12">
      <c r="A62" s="710" t="s">
        <v>229</v>
      </c>
      <c r="B62" s="424"/>
      <c r="C62" s="752"/>
      <c r="D62" s="752"/>
      <c r="E62" s="752"/>
      <c r="F62" s="752"/>
      <c r="G62" s="752"/>
      <c r="H62" s="752"/>
      <c r="I62" s="415">
        <f t="shared" si="2"/>
        <v>0</v>
      </c>
      <c r="J62" s="415" t="str">
        <f t="shared" si="3"/>
        <v/>
      </c>
      <c r="K62" s="752"/>
      <c r="L62" s="101"/>
    </row>
    <row r="63" spans="1:12">
      <c r="A63" s="710" t="s">
        <v>230</v>
      </c>
      <c r="B63" s="424"/>
      <c r="C63" s="752"/>
      <c r="D63" s="752">
        <v>20150000</v>
      </c>
      <c r="E63" s="752"/>
      <c r="F63" s="752">
        <f>2386160.2</f>
        <v>2386160.2000000002</v>
      </c>
      <c r="G63" s="752">
        <f>4668706.47+1197145.1+2394506.61+2432603.41+2456368.64+1340936.53+2386160.2</f>
        <v>16876426.960000001</v>
      </c>
      <c r="H63" s="752">
        <v>20150000</v>
      </c>
      <c r="I63" s="415">
        <f t="shared" si="2"/>
        <v>-3273573.0399999991</v>
      </c>
      <c r="J63" s="415">
        <f t="shared" si="3"/>
        <v>-0.16246020049627788</v>
      </c>
      <c r="K63" s="752">
        <v>20150000</v>
      </c>
      <c r="L63" s="101"/>
    </row>
    <row r="64" spans="1:12">
      <c r="A64" s="621" t="s">
        <v>134</v>
      </c>
      <c r="B64" s="424"/>
      <c r="C64" s="625">
        <f>SUM(C65)</f>
        <v>0</v>
      </c>
      <c r="D64" s="625">
        <f t="shared" ref="D64:K64" si="17">SUM(D65)</f>
        <v>19266187.5</v>
      </c>
      <c r="E64" s="625">
        <f t="shared" si="17"/>
        <v>0</v>
      </c>
      <c r="F64" s="625">
        <f t="shared" si="17"/>
        <v>1772000</v>
      </c>
      <c r="G64" s="625">
        <f t="shared" si="17"/>
        <v>11507000</v>
      </c>
      <c r="H64" s="625">
        <f t="shared" si="17"/>
        <v>19266187.5</v>
      </c>
      <c r="I64" s="625">
        <f t="shared" si="2"/>
        <v>-7759187.5</v>
      </c>
      <c r="J64" s="625">
        <f t="shared" si="3"/>
        <v>-0.40273601095182948</v>
      </c>
      <c r="K64" s="628">
        <f t="shared" si="17"/>
        <v>19266187.5</v>
      </c>
      <c r="L64" s="101"/>
    </row>
    <row r="65" spans="1:12">
      <c r="A65" s="710" t="s">
        <v>231</v>
      </c>
      <c r="B65" s="424"/>
      <c r="C65" s="752"/>
      <c r="D65" s="752">
        <v>19266187.5</v>
      </c>
      <c r="E65" s="752"/>
      <c r="F65" s="752">
        <f>1772000</f>
        <v>1772000</v>
      </c>
      <c r="G65" s="752">
        <f>1798000+1801000+1787000+1789000+1769000+791000+1772000</f>
        <v>11507000</v>
      </c>
      <c r="H65" s="752">
        <v>19266187.5</v>
      </c>
      <c r="I65" s="415">
        <f t="shared" si="2"/>
        <v>-7759187.5</v>
      </c>
      <c r="J65" s="415">
        <f t="shared" si="3"/>
        <v>-0.40273601095182948</v>
      </c>
      <c r="K65" s="752">
        <v>19266187.5</v>
      </c>
      <c r="L65" s="101"/>
    </row>
    <row r="66" spans="1:12">
      <c r="A66" s="421" t="s">
        <v>883</v>
      </c>
      <c r="B66" s="424"/>
      <c r="C66" s="625">
        <f>SUM(C67:C71)</f>
        <v>0</v>
      </c>
      <c r="D66" s="625">
        <f t="shared" ref="D66:K66" si="18">SUM(D67:D71)</f>
        <v>0</v>
      </c>
      <c r="E66" s="625">
        <f t="shared" si="18"/>
        <v>0</v>
      </c>
      <c r="F66" s="625">
        <f t="shared" si="18"/>
        <v>0</v>
      </c>
      <c r="G66" s="625">
        <f t="shared" si="18"/>
        <v>0</v>
      </c>
      <c r="H66" s="625">
        <f t="shared" si="18"/>
        <v>0</v>
      </c>
      <c r="I66" s="625">
        <f t="shared" si="2"/>
        <v>0</v>
      </c>
      <c r="J66" s="625" t="str">
        <f t="shared" si="3"/>
        <v/>
      </c>
      <c r="K66" s="628">
        <f t="shared" si="18"/>
        <v>0</v>
      </c>
      <c r="L66" s="101"/>
    </row>
    <row r="67" spans="1:12">
      <c r="A67" s="621" t="s">
        <v>232</v>
      </c>
      <c r="B67" s="424"/>
      <c r="C67" s="752"/>
      <c r="D67" s="752"/>
      <c r="E67" s="752"/>
      <c r="F67" s="752"/>
      <c r="G67" s="752"/>
      <c r="H67" s="752"/>
      <c r="I67" s="415">
        <f t="shared" si="2"/>
        <v>0</v>
      </c>
      <c r="J67" s="415" t="str">
        <f t="shared" si="3"/>
        <v/>
      </c>
      <c r="K67" s="754"/>
      <c r="L67" s="101"/>
    </row>
    <row r="68" spans="1:12">
      <c r="A68" s="621" t="s">
        <v>551</v>
      </c>
      <c r="B68" s="424"/>
      <c r="C68" s="752"/>
      <c r="D68" s="752"/>
      <c r="E68" s="752"/>
      <c r="F68" s="752"/>
      <c r="G68" s="752"/>
      <c r="H68" s="752"/>
      <c r="I68" s="415">
        <f t="shared" si="2"/>
        <v>0</v>
      </c>
      <c r="J68" s="415" t="str">
        <f t="shared" si="3"/>
        <v/>
      </c>
      <c r="K68" s="754"/>
      <c r="L68" s="101"/>
    </row>
    <row r="69" spans="1:12">
      <c r="A69" s="621" t="s">
        <v>233</v>
      </c>
      <c r="B69" s="424"/>
      <c r="C69" s="752"/>
      <c r="D69" s="752"/>
      <c r="E69" s="752"/>
      <c r="F69" s="752"/>
      <c r="G69" s="752"/>
      <c r="H69" s="752"/>
      <c r="I69" s="415">
        <f t="shared" si="2"/>
        <v>0</v>
      </c>
      <c r="J69" s="415" t="str">
        <f t="shared" si="3"/>
        <v/>
      </c>
      <c r="K69" s="754"/>
      <c r="L69" s="101"/>
    </row>
    <row r="70" spans="1:12">
      <c r="A70" s="621" t="s">
        <v>234</v>
      </c>
      <c r="B70" s="422"/>
      <c r="C70" s="752"/>
      <c r="D70" s="752"/>
      <c r="E70" s="752"/>
      <c r="F70" s="752"/>
      <c r="G70" s="752"/>
      <c r="H70" s="752"/>
      <c r="I70" s="415">
        <f t="shared" si="2"/>
        <v>0</v>
      </c>
      <c r="J70" s="415" t="str">
        <f t="shared" si="3"/>
        <v/>
      </c>
      <c r="K70" s="754"/>
      <c r="L70" s="101"/>
    </row>
    <row r="71" spans="1:12">
      <c r="A71" s="621" t="s">
        <v>552</v>
      </c>
      <c r="B71" s="422"/>
      <c r="C71" s="752"/>
      <c r="D71" s="752"/>
      <c r="E71" s="752"/>
      <c r="F71" s="752"/>
      <c r="G71" s="752"/>
      <c r="H71" s="752"/>
      <c r="I71" s="415">
        <f>G71-H71</f>
        <v>0</v>
      </c>
      <c r="J71" s="415" t="str">
        <f>IF(I71=0,"",I71/H71)</f>
        <v/>
      </c>
      <c r="K71" s="754"/>
      <c r="L71" s="101"/>
    </row>
    <row r="72" spans="1:12">
      <c r="A72" s="629" t="str">
        <f>"Total "&amp;A5</f>
        <v>Total Revenue - Standard</v>
      </c>
      <c r="B72" s="422">
        <v>2</v>
      </c>
      <c r="C72" s="630">
        <f t="shared" ref="C72:H72" si="19">C6+C16+C38+C53+C66</f>
        <v>0</v>
      </c>
      <c r="D72" s="630">
        <f t="shared" si="19"/>
        <v>1153765478.04</v>
      </c>
      <c r="E72" s="630">
        <f t="shared" si="19"/>
        <v>0</v>
      </c>
      <c r="F72" s="630">
        <f t="shared" si="19"/>
        <v>43465233.420000002</v>
      </c>
      <c r="G72" s="630">
        <f t="shared" si="19"/>
        <v>609573120.51999998</v>
      </c>
      <c r="H72" s="630">
        <f t="shared" si="19"/>
        <v>1153765478.04</v>
      </c>
      <c r="I72" s="630">
        <f>G72-H72</f>
        <v>-544192357.51999998</v>
      </c>
      <c r="J72" s="630">
        <f>IF(I72=0,"",I72/H72)</f>
        <v>-0.47166635497229997</v>
      </c>
      <c r="K72" s="631">
        <f>K6+K16+K38+K53+K66</f>
        <v>1153765478.04</v>
      </c>
      <c r="L72" s="101"/>
    </row>
    <row r="73" spans="1:12">
      <c r="A73" s="632"/>
      <c r="B73" s="422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>
      <c r="A74" s="633" t="s">
        <v>923</v>
      </c>
      <c r="B74" s="634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>
      <c r="A75" s="421" t="str">
        <f>A6</f>
        <v>Municipal governance and administration</v>
      </c>
      <c r="B75" s="634"/>
      <c r="C75" s="619">
        <f t="shared" ref="C75:K75" si="20">C76+C79+C80</f>
        <v>0</v>
      </c>
      <c r="D75" s="619">
        <f t="shared" si="20"/>
        <v>434974388.94500005</v>
      </c>
      <c r="E75" s="619">
        <f t="shared" si="20"/>
        <v>0</v>
      </c>
      <c r="F75" s="619">
        <f t="shared" si="20"/>
        <v>23342000</v>
      </c>
      <c r="G75" s="619">
        <f t="shared" si="20"/>
        <v>172929917</v>
      </c>
      <c r="H75" s="619">
        <f t="shared" si="20"/>
        <v>434974388.94500005</v>
      </c>
      <c r="I75" s="619">
        <f t="shared" ref="I75:I138" si="21">G75-H75</f>
        <v>-262044471.94500005</v>
      </c>
      <c r="J75" s="619">
        <f t="shared" ref="J75:J138" si="22">IF(I75=0,"",I75/H75)</f>
        <v>-0.60243655397866203</v>
      </c>
      <c r="K75" s="620">
        <f t="shared" si="20"/>
        <v>434974388.94500005</v>
      </c>
      <c r="L75" s="101"/>
    </row>
    <row r="76" spans="1:12">
      <c r="A76" s="621" t="str">
        <f t="shared" ref="A76:A139" si="23">A7</f>
        <v>Executive and council</v>
      </c>
      <c r="B76" s="634"/>
      <c r="C76" s="622">
        <f t="shared" ref="C76:K76" si="24">SUM(C77:C78)</f>
        <v>0</v>
      </c>
      <c r="D76" s="622">
        <f t="shared" si="24"/>
        <v>56441251.450000003</v>
      </c>
      <c r="E76" s="622">
        <f t="shared" si="24"/>
        <v>0</v>
      </c>
      <c r="F76" s="622">
        <f t="shared" si="24"/>
        <v>2952000</v>
      </c>
      <c r="G76" s="622">
        <f t="shared" si="24"/>
        <v>21824000</v>
      </c>
      <c r="H76" s="622">
        <f t="shared" si="24"/>
        <v>56441251.450000003</v>
      </c>
      <c r="I76" s="622">
        <f t="shared" si="21"/>
        <v>-34617251.450000003</v>
      </c>
      <c r="J76" s="622">
        <f t="shared" si="22"/>
        <v>-0.61333245739008146</v>
      </c>
      <c r="K76" s="624">
        <f t="shared" si="24"/>
        <v>56441251.450000003</v>
      </c>
      <c r="L76" s="101"/>
    </row>
    <row r="77" spans="1:12">
      <c r="A77" s="710" t="str">
        <f t="shared" si="23"/>
        <v>Mayor and Council</v>
      </c>
      <c r="B77" s="634"/>
      <c r="C77" s="752"/>
      <c r="D77" s="752">
        <v>37787800.579999998</v>
      </c>
      <c r="E77" s="752"/>
      <c r="F77" s="752">
        <v>2143000</v>
      </c>
      <c r="G77" s="752">
        <f>2498000+3413000+1906000+2160000+2154000+2936000+2143000</f>
        <v>17210000</v>
      </c>
      <c r="H77" s="752">
        <v>37787800.579999998</v>
      </c>
      <c r="I77" s="415">
        <f t="shared" si="21"/>
        <v>-20577800.579999998</v>
      </c>
      <c r="J77" s="415">
        <f t="shared" si="22"/>
        <v>-0.5445620084830034</v>
      </c>
      <c r="K77" s="752">
        <v>37787800.579999998</v>
      </c>
      <c r="L77" s="101"/>
    </row>
    <row r="78" spans="1:12">
      <c r="A78" s="710" t="str">
        <f t="shared" si="23"/>
        <v>Municipal Manager</v>
      </c>
      <c r="B78" s="634"/>
      <c r="C78" s="752"/>
      <c r="D78" s="752">
        <v>18653450.870000001</v>
      </c>
      <c r="E78" s="752"/>
      <c r="F78" s="752">
        <v>809000</v>
      </c>
      <c r="G78" s="752">
        <f>435000+454000+760000+757000+621000+778000+809000</f>
        <v>4614000</v>
      </c>
      <c r="H78" s="752">
        <v>18653450.870000001</v>
      </c>
      <c r="I78" s="415">
        <f t="shared" si="21"/>
        <v>-14039450.870000001</v>
      </c>
      <c r="J78" s="415">
        <f t="shared" si="22"/>
        <v>-0.75264630484965056</v>
      </c>
      <c r="K78" s="752">
        <v>18653450.870000001</v>
      </c>
      <c r="L78" s="101"/>
    </row>
    <row r="79" spans="1:12">
      <c r="A79" s="621" t="str">
        <f t="shared" si="23"/>
        <v>Budget and treasury office</v>
      </c>
      <c r="B79" s="634"/>
      <c r="C79" s="753"/>
      <c r="D79" s="753">
        <v>123355674.89</v>
      </c>
      <c r="E79" s="753"/>
      <c r="F79" s="753">
        <v>10926000</v>
      </c>
      <c r="G79" s="753">
        <f>5677000+5411000+6198917+6311000+6307000+12072000+7910000+10926000</f>
        <v>60812917</v>
      </c>
      <c r="H79" s="753">
        <v>123355674.89</v>
      </c>
      <c r="I79" s="622">
        <f t="shared" si="21"/>
        <v>-62542757.890000001</v>
      </c>
      <c r="J79" s="622">
        <f t="shared" si="22"/>
        <v>-0.50701159833766285</v>
      </c>
      <c r="K79" s="753">
        <v>123355674.89</v>
      </c>
      <c r="L79" s="101"/>
    </row>
    <row r="80" spans="1:12">
      <c r="A80" s="621" t="str">
        <f t="shared" si="23"/>
        <v>Corporate services</v>
      </c>
      <c r="B80" s="634"/>
      <c r="C80" s="622">
        <f t="shared" ref="C80:K80" si="25">SUM(C81:C84)</f>
        <v>0</v>
      </c>
      <c r="D80" s="622">
        <f t="shared" si="25"/>
        <v>255177462.60500002</v>
      </c>
      <c r="E80" s="622">
        <f t="shared" si="25"/>
        <v>0</v>
      </c>
      <c r="F80" s="622">
        <f t="shared" si="25"/>
        <v>9464000</v>
      </c>
      <c r="G80" s="622">
        <f t="shared" si="25"/>
        <v>90293000</v>
      </c>
      <c r="H80" s="622">
        <f t="shared" si="25"/>
        <v>255177462.60500002</v>
      </c>
      <c r="I80" s="622">
        <f t="shared" si="21"/>
        <v>-164884462.60500002</v>
      </c>
      <c r="J80" s="622">
        <f t="shared" si="22"/>
        <v>-0.64615605516946317</v>
      </c>
      <c r="K80" s="624">
        <f t="shared" si="25"/>
        <v>255177462.60500002</v>
      </c>
      <c r="L80" s="101"/>
    </row>
    <row r="81" spans="1:12">
      <c r="A81" s="710" t="str">
        <f t="shared" si="23"/>
        <v>Human Resources</v>
      </c>
      <c r="B81" s="634"/>
      <c r="C81" s="752"/>
      <c r="D81" s="752">
        <v>14033962.925000001</v>
      </c>
      <c r="E81" s="752"/>
      <c r="F81" s="752">
        <v>304000</v>
      </c>
      <c r="G81" s="752">
        <f>157000+169000+462000+248000+352000+1144000+304000</f>
        <v>2836000</v>
      </c>
      <c r="H81" s="752">
        <v>14033962.925000001</v>
      </c>
      <c r="I81" s="415">
        <f t="shared" si="21"/>
        <v>-11197962.925000001</v>
      </c>
      <c r="J81" s="415">
        <f t="shared" si="22"/>
        <v>-0.79791880489095701</v>
      </c>
      <c r="K81" s="752">
        <v>14033962.925000001</v>
      </c>
      <c r="L81" s="101"/>
    </row>
    <row r="82" spans="1:12">
      <c r="A82" s="710" t="str">
        <f t="shared" si="23"/>
        <v>Information Technology</v>
      </c>
      <c r="B82" s="634"/>
      <c r="C82" s="752"/>
      <c r="D82" s="752">
        <v>9903276.3399999999</v>
      </c>
      <c r="E82" s="752"/>
      <c r="F82" s="752">
        <f>206000</f>
        <v>206000</v>
      </c>
      <c r="G82" s="752">
        <f>75000+153000+176000+120000+251000+397000+206000</f>
        <v>1378000</v>
      </c>
      <c r="H82" s="752">
        <v>9903276.3399999999</v>
      </c>
      <c r="I82" s="415">
        <f t="shared" si="21"/>
        <v>-8525276.3399999999</v>
      </c>
      <c r="J82" s="415">
        <f t="shared" si="22"/>
        <v>-0.86085413022010049</v>
      </c>
      <c r="K82" s="752">
        <v>9903276.3399999999</v>
      </c>
      <c r="L82" s="101"/>
    </row>
    <row r="83" spans="1:12">
      <c r="A83" s="710" t="str">
        <f t="shared" si="23"/>
        <v>Property Services</v>
      </c>
      <c r="B83" s="634"/>
      <c r="C83" s="752"/>
      <c r="D83" s="752">
        <v>217044361.91</v>
      </c>
      <c r="E83" s="752"/>
      <c r="F83" s="752">
        <f>6722000+1519000</f>
        <v>8241000</v>
      </c>
      <c r="G83" s="752">
        <f>3372000+2407000+597000+14283000+1300000+18182000+12985000+6147000+13112000+6722000+1519000</f>
        <v>80626000</v>
      </c>
      <c r="H83" s="752">
        <v>217044361.91</v>
      </c>
      <c r="I83" s="415">
        <f t="shared" si="21"/>
        <v>-136418361.91</v>
      </c>
      <c r="J83" s="415">
        <f t="shared" si="22"/>
        <v>-0.62852755404246563</v>
      </c>
      <c r="K83" s="752">
        <v>217044361.91</v>
      </c>
      <c r="L83" s="101"/>
    </row>
    <row r="84" spans="1:12">
      <c r="A84" s="710" t="str">
        <f t="shared" si="23"/>
        <v>Other Admin</v>
      </c>
      <c r="B84" s="634"/>
      <c r="C84" s="752"/>
      <c r="D84" s="752">
        <v>14195861.43</v>
      </c>
      <c r="E84" s="752"/>
      <c r="F84" s="752">
        <f>658000+55000</f>
        <v>713000</v>
      </c>
      <c r="G84" s="752">
        <f>685000+779000+733000+847000+829000+867000+658000+55000</f>
        <v>5453000</v>
      </c>
      <c r="H84" s="752">
        <v>14195861.43</v>
      </c>
      <c r="I84" s="415">
        <f t="shared" si="21"/>
        <v>-8742861.4299999997</v>
      </c>
      <c r="J84" s="415">
        <f t="shared" si="22"/>
        <v>-0.61587396250035109</v>
      </c>
      <c r="K84" s="752">
        <v>14195861.43</v>
      </c>
      <c r="L84" s="101"/>
    </row>
    <row r="85" spans="1:12">
      <c r="A85" s="421" t="str">
        <f t="shared" si="23"/>
        <v>Community and public safety</v>
      </c>
      <c r="B85" s="634"/>
      <c r="C85" s="619">
        <f t="shared" ref="C85:K85" si="26">C86+C95+C96+C102+C103</f>
        <v>0</v>
      </c>
      <c r="D85" s="619">
        <f t="shared" si="26"/>
        <v>93037554.490999997</v>
      </c>
      <c r="E85" s="619">
        <f t="shared" si="26"/>
        <v>0</v>
      </c>
      <c r="F85" s="619">
        <f t="shared" si="26"/>
        <v>9415000</v>
      </c>
      <c r="G85" s="619">
        <f t="shared" si="26"/>
        <v>55311000</v>
      </c>
      <c r="H85" s="619">
        <f t="shared" si="26"/>
        <v>93037554.490999997</v>
      </c>
      <c r="I85" s="619">
        <f t="shared" si="21"/>
        <v>-37726554.490999997</v>
      </c>
      <c r="J85" s="619">
        <f t="shared" si="22"/>
        <v>-0.40549813134490204</v>
      </c>
      <c r="K85" s="620">
        <f t="shared" si="26"/>
        <v>93037554.490999997</v>
      </c>
      <c r="L85" s="101"/>
    </row>
    <row r="86" spans="1:12">
      <c r="A86" s="621" t="str">
        <f t="shared" si="23"/>
        <v>Community and social services</v>
      </c>
      <c r="B86" s="634"/>
      <c r="C86" s="625">
        <f t="shared" ref="C86:K86" si="27">SUM(C87:C94)</f>
        <v>0</v>
      </c>
      <c r="D86" s="625">
        <f t="shared" si="27"/>
        <v>16678116.638999999</v>
      </c>
      <c r="E86" s="625">
        <f t="shared" si="27"/>
        <v>0</v>
      </c>
      <c r="F86" s="625">
        <f t="shared" si="27"/>
        <v>1107000</v>
      </c>
      <c r="G86" s="625">
        <f t="shared" si="27"/>
        <v>6910000</v>
      </c>
      <c r="H86" s="625">
        <f t="shared" si="27"/>
        <v>16678116.638999999</v>
      </c>
      <c r="I86" s="625">
        <f t="shared" si="21"/>
        <v>-9768116.6389999986</v>
      </c>
      <c r="J86" s="625">
        <f t="shared" si="22"/>
        <v>-0.58568463396869996</v>
      </c>
      <c r="K86" s="628">
        <f t="shared" si="27"/>
        <v>16678116.638999999</v>
      </c>
      <c r="L86" s="101"/>
    </row>
    <row r="87" spans="1:12">
      <c r="A87" s="710" t="str">
        <f t="shared" si="23"/>
        <v>Libraries and Archives</v>
      </c>
      <c r="B87" s="634"/>
      <c r="C87" s="752"/>
      <c r="D87" s="752">
        <v>4450713.017</v>
      </c>
      <c r="E87" s="752"/>
      <c r="F87" s="752">
        <f>189000</f>
        <v>189000</v>
      </c>
      <c r="G87" s="752">
        <f>172000+222000+211000+188000+230000+188000+189000</f>
        <v>1400000</v>
      </c>
      <c r="H87" s="752">
        <v>4450713.017</v>
      </c>
      <c r="I87" s="415">
        <f t="shared" si="21"/>
        <v>-3050713.017</v>
      </c>
      <c r="J87" s="415">
        <f t="shared" si="22"/>
        <v>-0.68544365932996754</v>
      </c>
      <c r="K87" s="752">
        <v>4450713.017</v>
      </c>
      <c r="L87" s="101"/>
    </row>
    <row r="88" spans="1:12">
      <c r="A88" s="710" t="str">
        <f t="shared" si="23"/>
        <v>Museums &amp; Art Galleries etc</v>
      </c>
      <c r="B88" s="634"/>
      <c r="C88" s="752"/>
      <c r="D88" s="752"/>
      <c r="E88" s="752"/>
      <c r="F88" s="752"/>
      <c r="G88" s="752"/>
      <c r="H88" s="752"/>
      <c r="I88" s="415">
        <f t="shared" si="21"/>
        <v>0</v>
      </c>
      <c r="J88" s="415" t="str">
        <f t="shared" si="22"/>
        <v/>
      </c>
      <c r="K88" s="752"/>
      <c r="L88" s="101"/>
    </row>
    <row r="89" spans="1:12">
      <c r="A89" s="710" t="str">
        <f t="shared" si="23"/>
        <v>Community halls and Facilities</v>
      </c>
      <c r="B89" s="634"/>
      <c r="C89" s="752"/>
      <c r="D89" s="752">
        <v>5352060.7949999999</v>
      </c>
      <c r="E89" s="752"/>
      <c r="F89" s="752">
        <f>594000</f>
        <v>594000</v>
      </c>
      <c r="G89" s="752">
        <f>492000+497000+444000+485000+535000+492000+594000</f>
        <v>3539000</v>
      </c>
      <c r="H89" s="752">
        <v>5352060.7949999999</v>
      </c>
      <c r="I89" s="415">
        <f t="shared" si="21"/>
        <v>-1813060.7949999999</v>
      </c>
      <c r="J89" s="415">
        <f t="shared" si="22"/>
        <v>-0.33875937969422859</v>
      </c>
      <c r="K89" s="752">
        <v>5352060.7949999999</v>
      </c>
      <c r="L89" s="101"/>
    </row>
    <row r="90" spans="1:12">
      <c r="A90" s="710" t="str">
        <f t="shared" si="23"/>
        <v>Cemeteries &amp; Crematoriums</v>
      </c>
      <c r="B90" s="634"/>
      <c r="C90" s="752"/>
      <c r="D90" s="752"/>
      <c r="E90" s="752"/>
      <c r="F90" s="752"/>
      <c r="G90" s="752"/>
      <c r="H90" s="752"/>
      <c r="I90" s="415">
        <f t="shared" si="21"/>
        <v>0</v>
      </c>
      <c r="J90" s="415" t="str">
        <f t="shared" si="22"/>
        <v/>
      </c>
      <c r="K90" s="752"/>
      <c r="L90" s="101"/>
    </row>
    <row r="91" spans="1:12">
      <c r="A91" s="710" t="str">
        <f t="shared" si="23"/>
        <v>Child Care</v>
      </c>
      <c r="B91" s="634"/>
      <c r="C91" s="752"/>
      <c r="D91" s="752"/>
      <c r="E91" s="752"/>
      <c r="F91" s="752"/>
      <c r="G91" s="752"/>
      <c r="H91" s="752"/>
      <c r="I91" s="415">
        <f t="shared" si="21"/>
        <v>0</v>
      </c>
      <c r="J91" s="415" t="str">
        <f t="shared" si="22"/>
        <v/>
      </c>
      <c r="K91" s="752"/>
      <c r="L91" s="101"/>
    </row>
    <row r="92" spans="1:12">
      <c r="A92" s="710" t="str">
        <f t="shared" si="23"/>
        <v>Aged Care</v>
      </c>
      <c r="B92" s="634"/>
      <c r="C92" s="752"/>
      <c r="D92" s="752"/>
      <c r="E92" s="752"/>
      <c r="F92" s="752"/>
      <c r="G92" s="752"/>
      <c r="H92" s="752"/>
      <c r="I92" s="415">
        <f t="shared" si="21"/>
        <v>0</v>
      </c>
      <c r="J92" s="415" t="str">
        <f t="shared" si="22"/>
        <v/>
      </c>
      <c r="K92" s="752"/>
      <c r="L92" s="101"/>
    </row>
    <row r="93" spans="1:12">
      <c r="A93" s="710" t="str">
        <f t="shared" si="23"/>
        <v>Other Community</v>
      </c>
      <c r="B93" s="634"/>
      <c r="C93" s="752"/>
      <c r="D93" s="752">
        <v>2596741.9900000002</v>
      </c>
      <c r="E93" s="752"/>
      <c r="F93" s="752">
        <f>18000+79000</f>
        <v>97000</v>
      </c>
      <c r="G93" s="752">
        <f>80000+79000+109000+117000+103000+115000+18000+79000</f>
        <v>700000</v>
      </c>
      <c r="H93" s="752">
        <v>2596741.9900000002</v>
      </c>
      <c r="I93" s="415">
        <f t="shared" si="21"/>
        <v>-1896741.9900000002</v>
      </c>
      <c r="J93" s="415">
        <f t="shared" si="22"/>
        <v>-0.73043143959019208</v>
      </c>
      <c r="K93" s="752">
        <v>2596741.9900000002</v>
      </c>
      <c r="L93" s="101"/>
    </row>
    <row r="94" spans="1:12">
      <c r="A94" s="710" t="str">
        <f t="shared" si="23"/>
        <v>Other Social</v>
      </c>
      <c r="B94" s="634"/>
      <c r="C94" s="752"/>
      <c r="D94" s="752">
        <v>4278600.8370000003</v>
      </c>
      <c r="E94" s="752"/>
      <c r="F94" s="752">
        <f>227000</f>
        <v>227000</v>
      </c>
      <c r="G94" s="752">
        <f>141000+173000+162000+172000+227000+169000+227000</f>
        <v>1271000</v>
      </c>
      <c r="H94" s="752">
        <v>4278600.8370000003</v>
      </c>
      <c r="I94" s="415">
        <f t="shared" si="21"/>
        <v>-3007600.8370000003</v>
      </c>
      <c r="J94" s="415">
        <f t="shared" si="22"/>
        <v>-0.70294027220095179</v>
      </c>
      <c r="K94" s="752">
        <v>4278600.8370000003</v>
      </c>
      <c r="L94" s="101"/>
    </row>
    <row r="95" spans="1:12">
      <c r="A95" s="621" t="str">
        <f t="shared" si="23"/>
        <v>Sport and recreation</v>
      </c>
      <c r="B95" s="634"/>
      <c r="C95" s="752"/>
      <c r="D95" s="752">
        <v>27050201.431999996</v>
      </c>
      <c r="E95" s="752"/>
      <c r="F95" s="752">
        <f>2153000</f>
        <v>2153000</v>
      </c>
      <c r="G95" s="752">
        <f>2056000+2137000+2589000+2215000+2053000+2105000+2153000</f>
        <v>15308000</v>
      </c>
      <c r="H95" s="752">
        <v>27050201.431999996</v>
      </c>
      <c r="I95" s="415">
        <f t="shared" si="21"/>
        <v>-11742201.431999996</v>
      </c>
      <c r="J95" s="415">
        <f t="shared" si="22"/>
        <v>-0.43408924186823772</v>
      </c>
      <c r="K95" s="752">
        <v>27050201.431999996</v>
      </c>
      <c r="L95" s="101"/>
    </row>
    <row r="96" spans="1:12">
      <c r="A96" s="621" t="str">
        <f t="shared" si="23"/>
        <v>Public safety</v>
      </c>
      <c r="B96" s="634"/>
      <c r="C96" s="625">
        <f t="shared" ref="C96:K96" si="28">SUM(C97:C101)</f>
        <v>0</v>
      </c>
      <c r="D96" s="625">
        <f t="shared" si="28"/>
        <v>42947207.280000001</v>
      </c>
      <c r="E96" s="625">
        <f t="shared" si="28"/>
        <v>0</v>
      </c>
      <c r="F96" s="625">
        <f t="shared" si="28"/>
        <v>5816000</v>
      </c>
      <c r="G96" s="625">
        <f t="shared" si="28"/>
        <v>30738000</v>
      </c>
      <c r="H96" s="625">
        <f t="shared" si="28"/>
        <v>42947207.280000001</v>
      </c>
      <c r="I96" s="625">
        <f t="shared" si="21"/>
        <v>-12209207.280000001</v>
      </c>
      <c r="J96" s="625">
        <f t="shared" si="22"/>
        <v>-0.28428407929764699</v>
      </c>
      <c r="K96" s="628">
        <f t="shared" si="28"/>
        <v>42947207.280000001</v>
      </c>
      <c r="L96" s="101"/>
    </row>
    <row r="97" spans="1:12">
      <c r="A97" s="710" t="str">
        <f t="shared" si="23"/>
        <v>Police</v>
      </c>
      <c r="B97" s="634"/>
      <c r="C97" s="752"/>
      <c r="D97" s="752"/>
      <c r="E97" s="752"/>
      <c r="F97" s="752"/>
      <c r="G97" s="752"/>
      <c r="H97" s="752"/>
      <c r="I97" s="415">
        <f t="shared" si="21"/>
        <v>0</v>
      </c>
      <c r="J97" s="415" t="str">
        <f t="shared" si="22"/>
        <v/>
      </c>
      <c r="K97" s="752"/>
      <c r="L97" s="101"/>
    </row>
    <row r="98" spans="1:12">
      <c r="A98" s="710" t="str">
        <f t="shared" si="23"/>
        <v>Fire</v>
      </c>
      <c r="B98" s="634"/>
      <c r="C98" s="752"/>
      <c r="D98" s="752">
        <v>16216495.73</v>
      </c>
      <c r="E98" s="752"/>
      <c r="F98" s="752">
        <f>1411000</f>
        <v>1411000</v>
      </c>
      <c r="G98" s="752">
        <f>1276000+1679000+1204000+1255000+1189000+1619000+1411000</f>
        <v>9633000</v>
      </c>
      <c r="H98" s="752">
        <v>16216495.73</v>
      </c>
      <c r="I98" s="415">
        <f t="shared" si="21"/>
        <v>-6583495.7300000004</v>
      </c>
      <c r="J98" s="415">
        <f t="shared" si="22"/>
        <v>-0.40597523901669724</v>
      </c>
      <c r="K98" s="752">
        <v>16216495.73</v>
      </c>
      <c r="L98" s="101"/>
    </row>
    <row r="99" spans="1:12">
      <c r="A99" s="710" t="str">
        <f t="shared" si="23"/>
        <v>Civil Defence</v>
      </c>
      <c r="B99" s="634"/>
      <c r="C99" s="752"/>
      <c r="D99" s="752"/>
      <c r="E99" s="752"/>
      <c r="F99" s="752"/>
      <c r="G99" s="752"/>
      <c r="H99" s="752"/>
      <c r="I99" s="415">
        <f t="shared" si="21"/>
        <v>0</v>
      </c>
      <c r="J99" s="415" t="str">
        <f t="shared" si="22"/>
        <v/>
      </c>
      <c r="K99" s="752"/>
      <c r="L99" s="101"/>
    </row>
    <row r="100" spans="1:12">
      <c r="A100" s="710" t="str">
        <f t="shared" si="23"/>
        <v>Street Lighting</v>
      </c>
      <c r="B100" s="634"/>
      <c r="C100" s="752"/>
      <c r="D100" s="752"/>
      <c r="E100" s="752"/>
      <c r="F100" s="752"/>
      <c r="G100" s="752"/>
      <c r="H100" s="752"/>
      <c r="I100" s="415">
        <f t="shared" si="21"/>
        <v>0</v>
      </c>
      <c r="J100" s="415" t="str">
        <f t="shared" si="22"/>
        <v/>
      </c>
      <c r="K100" s="752"/>
      <c r="L100" s="101"/>
    </row>
    <row r="101" spans="1:12">
      <c r="A101" s="710" t="str">
        <f t="shared" si="23"/>
        <v>Other</v>
      </c>
      <c r="B101" s="634"/>
      <c r="C101" s="752"/>
      <c r="D101" s="752">
        <v>26730711.550000001</v>
      </c>
      <c r="E101" s="752"/>
      <c r="F101" s="752">
        <f>4405000</f>
        <v>4405000</v>
      </c>
      <c r="G101" s="752">
        <f>2161000+7946000+2584000-7062000+4226000+2055000+4790000+4405000</f>
        <v>21105000</v>
      </c>
      <c r="H101" s="752">
        <v>26730711.550000001</v>
      </c>
      <c r="I101" s="415">
        <f t="shared" si="21"/>
        <v>-5625711.5500000007</v>
      </c>
      <c r="J101" s="415">
        <f t="shared" si="22"/>
        <v>-0.21045872794957457</v>
      </c>
      <c r="K101" s="752">
        <v>26730711.550000001</v>
      </c>
      <c r="L101" s="101"/>
    </row>
    <row r="102" spans="1:12">
      <c r="A102" s="621" t="str">
        <f t="shared" si="23"/>
        <v>Housing</v>
      </c>
      <c r="B102" s="634"/>
      <c r="C102" s="756"/>
      <c r="D102" s="756">
        <v>6362029.1399999997</v>
      </c>
      <c r="E102" s="756"/>
      <c r="F102" s="756">
        <f>187000+73000+79000</f>
        <v>339000</v>
      </c>
      <c r="G102" s="756">
        <f>303000+392000+305000+302000+353000+361000+339000</f>
        <v>2355000</v>
      </c>
      <c r="H102" s="756">
        <v>6362029.1399999997</v>
      </c>
      <c r="I102" s="625">
        <f t="shared" si="21"/>
        <v>-4007029.1399999997</v>
      </c>
      <c r="J102" s="625">
        <f t="shared" si="22"/>
        <v>-0.62983508120178144</v>
      </c>
      <c r="K102" s="756">
        <v>6362029.1399999997</v>
      </c>
      <c r="L102" s="101"/>
    </row>
    <row r="103" spans="1:12">
      <c r="A103" s="621" t="str">
        <f t="shared" si="23"/>
        <v>Health</v>
      </c>
      <c r="B103" s="634"/>
      <c r="C103" s="625">
        <f t="shared" ref="C103:K103" si="29">SUM(C104:C106)</f>
        <v>0</v>
      </c>
      <c r="D103" s="625">
        <f t="shared" si="29"/>
        <v>0</v>
      </c>
      <c r="E103" s="625">
        <f t="shared" si="29"/>
        <v>0</v>
      </c>
      <c r="F103" s="625">
        <f t="shared" si="29"/>
        <v>0</v>
      </c>
      <c r="G103" s="625">
        <f t="shared" si="29"/>
        <v>0</v>
      </c>
      <c r="H103" s="625">
        <f t="shared" si="29"/>
        <v>0</v>
      </c>
      <c r="I103" s="625">
        <f t="shared" si="21"/>
        <v>0</v>
      </c>
      <c r="J103" s="625" t="str">
        <f t="shared" si="22"/>
        <v/>
      </c>
      <c r="K103" s="628">
        <f t="shared" si="29"/>
        <v>0</v>
      </c>
      <c r="L103" s="101"/>
    </row>
    <row r="104" spans="1:12">
      <c r="A104" s="710" t="str">
        <f t="shared" si="23"/>
        <v>Clinics</v>
      </c>
      <c r="B104" s="634"/>
      <c r="C104" s="752"/>
      <c r="D104" s="752"/>
      <c r="E104" s="752"/>
      <c r="F104" s="752"/>
      <c r="G104" s="752"/>
      <c r="H104" s="752"/>
      <c r="I104" s="415">
        <f t="shared" si="21"/>
        <v>0</v>
      </c>
      <c r="J104" s="415" t="str">
        <f t="shared" si="22"/>
        <v/>
      </c>
      <c r="K104" s="754"/>
      <c r="L104" s="101"/>
    </row>
    <row r="105" spans="1:12">
      <c r="A105" s="710" t="str">
        <f t="shared" si="23"/>
        <v>Ambulance</v>
      </c>
      <c r="B105" s="634"/>
      <c r="C105" s="752"/>
      <c r="D105" s="752"/>
      <c r="E105" s="752"/>
      <c r="F105" s="752"/>
      <c r="G105" s="752"/>
      <c r="H105" s="752"/>
      <c r="I105" s="415">
        <f t="shared" si="21"/>
        <v>0</v>
      </c>
      <c r="J105" s="415" t="str">
        <f t="shared" si="22"/>
        <v/>
      </c>
      <c r="K105" s="754"/>
      <c r="L105" s="101"/>
    </row>
    <row r="106" spans="1:12">
      <c r="A106" s="710" t="str">
        <f t="shared" si="23"/>
        <v xml:space="preserve">Other   </v>
      </c>
      <c r="B106" s="634"/>
      <c r="C106" s="752"/>
      <c r="D106" s="752"/>
      <c r="E106" s="752"/>
      <c r="F106" s="752"/>
      <c r="G106" s="752"/>
      <c r="H106" s="752"/>
      <c r="I106" s="415">
        <f t="shared" si="21"/>
        <v>0</v>
      </c>
      <c r="J106" s="415" t="str">
        <f t="shared" si="22"/>
        <v/>
      </c>
      <c r="K106" s="754"/>
      <c r="L106" s="101"/>
    </row>
    <row r="107" spans="1:12">
      <c r="A107" s="421" t="str">
        <f t="shared" si="23"/>
        <v>Economic and environmental services</v>
      </c>
      <c r="B107" s="634"/>
      <c r="C107" s="619">
        <f t="shared" ref="C107:K107" si="30">C108+C112+C118</f>
        <v>0</v>
      </c>
      <c r="D107" s="619">
        <f t="shared" si="30"/>
        <v>79552551.356999993</v>
      </c>
      <c r="E107" s="619">
        <f t="shared" si="30"/>
        <v>0</v>
      </c>
      <c r="F107" s="619">
        <f t="shared" si="30"/>
        <v>1514000</v>
      </c>
      <c r="G107" s="619">
        <f t="shared" si="30"/>
        <v>27261000</v>
      </c>
      <c r="H107" s="619">
        <f t="shared" si="30"/>
        <v>79552551.356999993</v>
      </c>
      <c r="I107" s="619">
        <f t="shared" si="21"/>
        <v>-52291551.356999993</v>
      </c>
      <c r="J107" s="619">
        <f t="shared" si="22"/>
        <v>-0.65732085853961431</v>
      </c>
      <c r="K107" s="620">
        <f t="shared" si="30"/>
        <v>79552551.356999993</v>
      </c>
      <c r="L107" s="101"/>
    </row>
    <row r="108" spans="1:12">
      <c r="A108" s="621" t="str">
        <f t="shared" si="23"/>
        <v>Planning and development</v>
      </c>
      <c r="B108" s="634"/>
      <c r="C108" s="625">
        <f t="shared" ref="C108:K108" si="31">SUM(C109:C111)</f>
        <v>0</v>
      </c>
      <c r="D108" s="625">
        <f t="shared" si="31"/>
        <v>24798620.57</v>
      </c>
      <c r="E108" s="625">
        <f t="shared" si="31"/>
        <v>0</v>
      </c>
      <c r="F108" s="625">
        <f t="shared" si="31"/>
        <v>1012000</v>
      </c>
      <c r="G108" s="625">
        <f t="shared" si="31"/>
        <v>7932000</v>
      </c>
      <c r="H108" s="625">
        <f t="shared" si="31"/>
        <v>24798620.57</v>
      </c>
      <c r="I108" s="625">
        <f t="shared" si="21"/>
        <v>-16866620.57</v>
      </c>
      <c r="J108" s="625">
        <f t="shared" si="22"/>
        <v>-0.6801434992075448</v>
      </c>
      <c r="K108" s="628">
        <f t="shared" si="31"/>
        <v>24798620.57</v>
      </c>
      <c r="L108" s="101"/>
    </row>
    <row r="109" spans="1:12">
      <c r="A109" s="710" t="str">
        <f t="shared" si="23"/>
        <v xml:space="preserve">Economic Development/Planning </v>
      </c>
      <c r="B109" s="634"/>
      <c r="C109" s="752"/>
      <c r="D109" s="752">
        <v>6541234.1799999997</v>
      </c>
      <c r="E109" s="752"/>
      <c r="F109" s="752">
        <f>34000+62000+222000</f>
        <v>318000</v>
      </c>
      <c r="G109" s="752">
        <f>134000+177000+138000+134000+132000+167000+318000</f>
        <v>1200000</v>
      </c>
      <c r="H109" s="752">
        <v>6541234.1799999997</v>
      </c>
      <c r="I109" s="415">
        <f t="shared" si="21"/>
        <v>-5341234.18</v>
      </c>
      <c r="J109" s="415">
        <f t="shared" si="22"/>
        <v>-0.81654838108853645</v>
      </c>
      <c r="K109" s="752">
        <v>6541234.1799999997</v>
      </c>
      <c r="L109" s="101"/>
    </row>
    <row r="110" spans="1:12" ht="22.5">
      <c r="A110" s="710" t="str">
        <f t="shared" si="23"/>
        <v xml:space="preserve">Town Planning/Building enforcement </v>
      </c>
      <c r="B110" s="634"/>
      <c r="C110" s="752"/>
      <c r="D110" s="752">
        <v>18257386.390000001</v>
      </c>
      <c r="E110" s="752"/>
      <c r="F110" s="752">
        <f>694000</f>
        <v>694000</v>
      </c>
      <c r="G110" s="752">
        <f>510000+1503000+1198000+1028000+1076000+723000+694000</f>
        <v>6732000</v>
      </c>
      <c r="H110" s="752">
        <v>18257386.390000001</v>
      </c>
      <c r="I110" s="415">
        <f t="shared" si="21"/>
        <v>-11525386.390000001</v>
      </c>
      <c r="J110" s="415">
        <f t="shared" si="22"/>
        <v>-0.63127252410633794</v>
      </c>
      <c r="K110" s="752">
        <v>18257386.390000001</v>
      </c>
      <c r="L110" s="101"/>
    </row>
    <row r="111" spans="1:12">
      <c r="A111" s="710" t="str">
        <f t="shared" si="23"/>
        <v>Licensing &amp; Regulation</v>
      </c>
      <c r="B111" s="634"/>
      <c r="C111" s="752"/>
      <c r="D111" s="752"/>
      <c r="E111" s="752"/>
      <c r="F111" s="752"/>
      <c r="G111" s="752"/>
      <c r="H111" s="752"/>
      <c r="I111" s="415">
        <f t="shared" si="21"/>
        <v>0</v>
      </c>
      <c r="J111" s="415" t="str">
        <f t="shared" si="22"/>
        <v/>
      </c>
      <c r="K111" s="752"/>
      <c r="L111" s="101"/>
    </row>
    <row r="112" spans="1:12">
      <c r="A112" s="621" t="str">
        <f t="shared" si="23"/>
        <v>Road transport</v>
      </c>
      <c r="B112" s="634"/>
      <c r="C112" s="625">
        <f t="shared" ref="C112:K112" si="32">SUM(C113:C117)</f>
        <v>0</v>
      </c>
      <c r="D112" s="625">
        <f t="shared" si="32"/>
        <v>54753930.787</v>
      </c>
      <c r="E112" s="625">
        <f t="shared" si="32"/>
        <v>0</v>
      </c>
      <c r="F112" s="625">
        <f t="shared" si="32"/>
        <v>502000</v>
      </c>
      <c r="G112" s="625">
        <f t="shared" si="32"/>
        <v>19329000</v>
      </c>
      <c r="H112" s="625">
        <f t="shared" si="32"/>
        <v>54753930.787</v>
      </c>
      <c r="I112" s="625">
        <f t="shared" si="21"/>
        <v>-35424930.787</v>
      </c>
      <c r="J112" s="625">
        <f t="shared" si="22"/>
        <v>-0.6469842489447496</v>
      </c>
      <c r="K112" s="628">
        <f t="shared" si="32"/>
        <v>54753930.787</v>
      </c>
      <c r="L112" s="101"/>
    </row>
    <row r="113" spans="1:12">
      <c r="A113" s="710" t="str">
        <f t="shared" si="23"/>
        <v>Roads</v>
      </c>
      <c r="B113" s="634"/>
      <c r="C113" s="752"/>
      <c r="D113" s="752">
        <v>44828563.200000003</v>
      </c>
      <c r="E113" s="752"/>
      <c r="F113" s="752"/>
      <c r="G113" s="752">
        <f>13447000+2776000</f>
        <v>16223000</v>
      </c>
      <c r="H113" s="752">
        <v>44828563.200000003</v>
      </c>
      <c r="I113" s="415">
        <f t="shared" si="21"/>
        <v>-28605563.200000003</v>
      </c>
      <c r="J113" s="415">
        <f t="shared" si="22"/>
        <v>-0.6381101948857465</v>
      </c>
      <c r="K113" s="752">
        <v>44828563.200000003</v>
      </c>
      <c r="L113" s="101"/>
    </row>
    <row r="114" spans="1:12">
      <c r="A114" s="710" t="str">
        <f t="shared" si="23"/>
        <v>Public Buses</v>
      </c>
      <c r="B114" s="634"/>
      <c r="C114" s="752"/>
      <c r="D114" s="752"/>
      <c r="E114" s="752"/>
      <c r="F114" s="752"/>
      <c r="G114" s="752"/>
      <c r="H114" s="752"/>
      <c r="I114" s="415">
        <f t="shared" si="21"/>
        <v>0</v>
      </c>
      <c r="J114" s="415" t="str">
        <f t="shared" si="22"/>
        <v/>
      </c>
      <c r="K114" s="752"/>
      <c r="L114" s="101"/>
    </row>
    <row r="115" spans="1:12">
      <c r="A115" s="710" t="str">
        <f t="shared" si="23"/>
        <v>Parking Garages</v>
      </c>
      <c r="B115" s="634"/>
      <c r="C115" s="752"/>
      <c r="D115" s="752"/>
      <c r="E115" s="752"/>
      <c r="F115" s="752"/>
      <c r="G115" s="752"/>
      <c r="H115" s="752"/>
      <c r="I115" s="415">
        <f t="shared" si="21"/>
        <v>0</v>
      </c>
      <c r="J115" s="415" t="str">
        <f t="shared" si="22"/>
        <v/>
      </c>
      <c r="K115" s="752"/>
      <c r="L115" s="101"/>
    </row>
    <row r="116" spans="1:12">
      <c r="A116" s="710" t="str">
        <f t="shared" si="23"/>
        <v>Vehicle Licensing and Testing</v>
      </c>
      <c r="B116" s="634"/>
      <c r="C116" s="752"/>
      <c r="D116" s="752">
        <v>3453587.5070000002</v>
      </c>
      <c r="E116" s="752"/>
      <c r="F116" s="752">
        <v>102000</v>
      </c>
      <c r="G116" s="752">
        <f>108000+106000+116000+106000+116000+102000</f>
        <v>654000</v>
      </c>
      <c r="H116" s="752">
        <v>3453587.5070000002</v>
      </c>
      <c r="I116" s="415">
        <f t="shared" si="21"/>
        <v>-2799587.5070000002</v>
      </c>
      <c r="J116" s="415">
        <f t="shared" si="22"/>
        <v>-0.81063169858171491</v>
      </c>
      <c r="K116" s="752">
        <v>3453587.5070000002</v>
      </c>
      <c r="L116" s="101"/>
    </row>
    <row r="117" spans="1:12">
      <c r="A117" s="710" t="str">
        <f t="shared" si="23"/>
        <v>Other</v>
      </c>
      <c r="B117" s="634"/>
      <c r="C117" s="752"/>
      <c r="D117" s="752">
        <v>6471780.0800000001</v>
      </c>
      <c r="E117" s="752"/>
      <c r="F117" s="752">
        <f>317000+83000</f>
        <v>400000</v>
      </c>
      <c r="G117" s="752">
        <f>553000+295000+366000+498000+340000+317000+83000</f>
        <v>2452000</v>
      </c>
      <c r="H117" s="752">
        <v>6471780.0800000001</v>
      </c>
      <c r="I117" s="415">
        <f t="shared" si="21"/>
        <v>-4019780.08</v>
      </c>
      <c r="J117" s="415">
        <f t="shared" si="22"/>
        <v>-0.62112433214819629</v>
      </c>
      <c r="K117" s="752">
        <v>6471780.0800000001</v>
      </c>
      <c r="L117" s="101"/>
    </row>
    <row r="118" spans="1:12">
      <c r="A118" s="621" t="str">
        <f t="shared" si="23"/>
        <v>Environmental protection</v>
      </c>
      <c r="B118" s="634"/>
      <c r="C118" s="625">
        <f t="shared" ref="C118:K118" si="33">SUM(C119:C121)</f>
        <v>0</v>
      </c>
      <c r="D118" s="625">
        <f t="shared" si="33"/>
        <v>0</v>
      </c>
      <c r="E118" s="625">
        <f t="shared" si="33"/>
        <v>0</v>
      </c>
      <c r="F118" s="625">
        <f t="shared" si="33"/>
        <v>0</v>
      </c>
      <c r="G118" s="625">
        <f t="shared" si="33"/>
        <v>0</v>
      </c>
      <c r="H118" s="625">
        <f t="shared" si="33"/>
        <v>0</v>
      </c>
      <c r="I118" s="625">
        <f t="shared" si="21"/>
        <v>0</v>
      </c>
      <c r="J118" s="625" t="str">
        <f t="shared" si="22"/>
        <v/>
      </c>
      <c r="K118" s="628">
        <f t="shared" si="33"/>
        <v>0</v>
      </c>
      <c r="L118" s="101"/>
    </row>
    <row r="119" spans="1:12">
      <c r="A119" s="710" t="str">
        <f t="shared" si="23"/>
        <v>Pollution Control</v>
      </c>
      <c r="B119" s="634"/>
      <c r="C119" s="752"/>
      <c r="D119" s="752"/>
      <c r="E119" s="752"/>
      <c r="F119" s="752"/>
      <c r="G119" s="752"/>
      <c r="H119" s="752"/>
      <c r="I119" s="415">
        <f t="shared" si="21"/>
        <v>0</v>
      </c>
      <c r="J119" s="415" t="str">
        <f t="shared" si="22"/>
        <v/>
      </c>
      <c r="K119" s="754"/>
      <c r="L119" s="101"/>
    </row>
    <row r="120" spans="1:12">
      <c r="A120" s="710" t="str">
        <f t="shared" si="23"/>
        <v>Biodiversity &amp; Landscape</v>
      </c>
      <c r="B120" s="634"/>
      <c r="C120" s="752"/>
      <c r="D120" s="752"/>
      <c r="E120" s="752"/>
      <c r="F120" s="752"/>
      <c r="G120" s="752"/>
      <c r="H120" s="752"/>
      <c r="I120" s="415">
        <f t="shared" si="21"/>
        <v>0</v>
      </c>
      <c r="J120" s="415" t="str">
        <f t="shared" si="22"/>
        <v/>
      </c>
      <c r="K120" s="754"/>
      <c r="L120" s="101"/>
    </row>
    <row r="121" spans="1:12">
      <c r="A121" s="710" t="str">
        <f t="shared" si="23"/>
        <v>Other</v>
      </c>
      <c r="B121" s="634"/>
      <c r="C121" s="752"/>
      <c r="D121" s="752"/>
      <c r="E121" s="752"/>
      <c r="F121" s="752"/>
      <c r="G121" s="752"/>
      <c r="H121" s="752"/>
      <c r="I121" s="415">
        <f t="shared" si="21"/>
        <v>0</v>
      </c>
      <c r="J121" s="415" t="str">
        <f t="shared" si="22"/>
        <v/>
      </c>
      <c r="K121" s="754"/>
      <c r="L121" s="101"/>
    </row>
    <row r="122" spans="1:12">
      <c r="A122" s="421" t="str">
        <f t="shared" si="23"/>
        <v>Trading services</v>
      </c>
      <c r="B122" s="634"/>
      <c r="C122" s="619">
        <f>C123+C126+C129+C133</f>
        <v>0</v>
      </c>
      <c r="D122" s="619">
        <f t="shared" ref="D122:I122" si="34">D123+D126+D129+D133</f>
        <v>542801264.07999992</v>
      </c>
      <c r="E122" s="619">
        <f t="shared" si="34"/>
        <v>0</v>
      </c>
      <c r="F122" s="619">
        <f t="shared" si="34"/>
        <v>29483775</v>
      </c>
      <c r="G122" s="619">
        <f t="shared" si="34"/>
        <v>343478096</v>
      </c>
      <c r="H122" s="619">
        <f t="shared" si="34"/>
        <v>542801264.07999992</v>
      </c>
      <c r="I122" s="619">
        <f t="shared" si="34"/>
        <v>-199323168.07999998</v>
      </c>
      <c r="J122" s="619">
        <f t="shared" si="22"/>
        <v>-0.36721205581168848</v>
      </c>
      <c r="K122" s="620">
        <f>K123+K126+K129+K133</f>
        <v>542801264.07999992</v>
      </c>
      <c r="L122" s="101"/>
    </row>
    <row r="123" spans="1:12">
      <c r="A123" s="621" t="str">
        <f t="shared" si="23"/>
        <v>Electricity</v>
      </c>
      <c r="B123" s="634"/>
      <c r="C123" s="625">
        <f t="shared" ref="C123:K123" si="35">SUM(C124:C125)</f>
        <v>0</v>
      </c>
      <c r="D123" s="625">
        <f t="shared" si="35"/>
        <v>381852042.88999999</v>
      </c>
      <c r="E123" s="625">
        <f t="shared" si="35"/>
        <v>0</v>
      </c>
      <c r="F123" s="625">
        <f t="shared" si="35"/>
        <v>15815000</v>
      </c>
      <c r="G123" s="625">
        <f t="shared" si="35"/>
        <v>253794000</v>
      </c>
      <c r="H123" s="625">
        <f t="shared" si="35"/>
        <v>381852042.88999999</v>
      </c>
      <c r="I123" s="625">
        <f t="shared" si="21"/>
        <v>-128058042.88999999</v>
      </c>
      <c r="J123" s="625">
        <f t="shared" si="22"/>
        <v>-0.33536037131242907</v>
      </c>
      <c r="K123" s="628">
        <f t="shared" si="35"/>
        <v>381852042.88999999</v>
      </c>
      <c r="L123" s="101"/>
    </row>
    <row r="124" spans="1:12">
      <c r="A124" s="710" t="str">
        <f t="shared" si="23"/>
        <v>Electricity Distribution</v>
      </c>
      <c r="B124" s="634"/>
      <c r="C124" s="752"/>
      <c r="D124" s="752">
        <v>381852042.88999999</v>
      </c>
      <c r="E124" s="752"/>
      <c r="F124" s="752">
        <f>15815000</f>
        <v>15815000</v>
      </c>
      <c r="G124" s="752">
        <f>19842000+35824000+28553000+36903000+41644000+75213000+15815000</f>
        <v>253794000</v>
      </c>
      <c r="H124" s="752">
        <v>381852042.88999999</v>
      </c>
      <c r="I124" s="415">
        <f t="shared" si="21"/>
        <v>-128058042.88999999</v>
      </c>
      <c r="J124" s="415">
        <f t="shared" si="22"/>
        <v>-0.33536037131242907</v>
      </c>
      <c r="K124" s="752">
        <v>381852042.88999999</v>
      </c>
      <c r="L124" s="101"/>
    </row>
    <row r="125" spans="1:12">
      <c r="A125" s="710" t="str">
        <f t="shared" si="23"/>
        <v>Electricity Generation</v>
      </c>
      <c r="B125" s="634"/>
      <c r="C125" s="752"/>
      <c r="D125" s="752"/>
      <c r="E125" s="752"/>
      <c r="F125" s="752"/>
      <c r="G125" s="752"/>
      <c r="H125" s="752"/>
      <c r="I125" s="415">
        <f t="shared" si="21"/>
        <v>0</v>
      </c>
      <c r="J125" s="415" t="str">
        <f t="shared" si="22"/>
        <v/>
      </c>
      <c r="K125" s="752"/>
      <c r="L125" s="101"/>
    </row>
    <row r="126" spans="1:12">
      <c r="A126" s="621" t="str">
        <f t="shared" si="23"/>
        <v>Water</v>
      </c>
      <c r="B126" s="634"/>
      <c r="C126" s="625">
        <f t="shared" ref="C126:K126" si="36">SUM(C127:C128)</f>
        <v>0</v>
      </c>
      <c r="D126" s="625">
        <f t="shared" si="36"/>
        <v>120341000</v>
      </c>
      <c r="E126" s="625">
        <f t="shared" si="36"/>
        <v>0</v>
      </c>
      <c r="F126" s="625">
        <f t="shared" si="36"/>
        <v>10253775</v>
      </c>
      <c r="G126" s="625">
        <f t="shared" si="36"/>
        <v>69583096</v>
      </c>
      <c r="H126" s="625">
        <f t="shared" si="36"/>
        <v>120341000</v>
      </c>
      <c r="I126" s="625">
        <f t="shared" si="21"/>
        <v>-50757904</v>
      </c>
      <c r="J126" s="625">
        <f t="shared" si="22"/>
        <v>-0.42178396390257683</v>
      </c>
      <c r="K126" s="628">
        <f t="shared" si="36"/>
        <v>120341000</v>
      </c>
      <c r="L126" s="101"/>
    </row>
    <row r="127" spans="1:12">
      <c r="A127" s="710" t="str">
        <f t="shared" si="23"/>
        <v>Water Distribution</v>
      </c>
      <c r="B127" s="634"/>
      <c r="C127" s="752"/>
      <c r="D127" s="752">
        <v>120341000</v>
      </c>
      <c r="E127" s="752"/>
      <c r="F127" s="752">
        <v>10253775</v>
      </c>
      <c r="G127" s="752">
        <f>8782777+9806383+10050372+9948994+11786586+8953209+10254775</f>
        <v>69583096</v>
      </c>
      <c r="H127" s="752">
        <v>120341000</v>
      </c>
      <c r="I127" s="415">
        <f t="shared" si="21"/>
        <v>-50757904</v>
      </c>
      <c r="J127" s="415">
        <f t="shared" si="22"/>
        <v>-0.42178396390257683</v>
      </c>
      <c r="K127" s="752">
        <v>120341000</v>
      </c>
      <c r="L127" s="101"/>
    </row>
    <row r="128" spans="1:12">
      <c r="A128" s="710" t="str">
        <f t="shared" si="23"/>
        <v>Water Storage</v>
      </c>
      <c r="B128" s="634"/>
      <c r="C128" s="752"/>
      <c r="D128" s="752"/>
      <c r="E128" s="752"/>
      <c r="F128" s="752"/>
      <c r="G128" s="752"/>
      <c r="H128" s="752"/>
      <c r="I128" s="415">
        <f t="shared" si="21"/>
        <v>0</v>
      </c>
      <c r="J128" s="415" t="str">
        <f t="shared" si="22"/>
        <v/>
      </c>
      <c r="K128" s="752"/>
      <c r="L128" s="101"/>
    </row>
    <row r="129" spans="1:12">
      <c r="A129" s="621" t="str">
        <f t="shared" si="23"/>
        <v>Waste water management</v>
      </c>
      <c r="B129" s="634"/>
      <c r="C129" s="625">
        <f t="shared" ref="C129:K129" si="37">SUM(C130:C132)</f>
        <v>0</v>
      </c>
      <c r="D129" s="625">
        <f t="shared" si="37"/>
        <v>0</v>
      </c>
      <c r="E129" s="625">
        <f t="shared" si="37"/>
        <v>0</v>
      </c>
      <c r="F129" s="625">
        <f t="shared" si="37"/>
        <v>0</v>
      </c>
      <c r="G129" s="625">
        <f t="shared" si="37"/>
        <v>0</v>
      </c>
      <c r="H129" s="625">
        <f t="shared" si="37"/>
        <v>0</v>
      </c>
      <c r="I129" s="625">
        <f t="shared" si="21"/>
        <v>0</v>
      </c>
      <c r="J129" s="625" t="str">
        <f t="shared" si="22"/>
        <v/>
      </c>
      <c r="K129" s="628">
        <f t="shared" si="37"/>
        <v>0</v>
      </c>
      <c r="L129" s="101"/>
    </row>
    <row r="130" spans="1:12">
      <c r="A130" s="710" t="str">
        <f t="shared" si="23"/>
        <v>Sewerage</v>
      </c>
      <c r="B130" s="634"/>
      <c r="C130" s="752"/>
      <c r="D130" s="752"/>
      <c r="E130" s="752"/>
      <c r="F130" s="752"/>
      <c r="G130" s="752"/>
      <c r="H130" s="752"/>
      <c r="I130" s="415">
        <f t="shared" si="21"/>
        <v>0</v>
      </c>
      <c r="J130" s="415" t="str">
        <f t="shared" si="22"/>
        <v/>
      </c>
      <c r="K130" s="754"/>
      <c r="L130" s="101"/>
    </row>
    <row r="131" spans="1:12">
      <c r="A131" s="710" t="str">
        <f t="shared" si="23"/>
        <v>Storm Water Management</v>
      </c>
      <c r="B131" s="634"/>
      <c r="C131" s="752"/>
      <c r="D131" s="752"/>
      <c r="E131" s="752"/>
      <c r="F131" s="752"/>
      <c r="G131" s="752"/>
      <c r="H131" s="752"/>
      <c r="I131" s="415">
        <f t="shared" si="21"/>
        <v>0</v>
      </c>
      <c r="J131" s="415" t="str">
        <f t="shared" si="22"/>
        <v/>
      </c>
      <c r="K131" s="754"/>
      <c r="L131" s="101"/>
    </row>
    <row r="132" spans="1:12">
      <c r="A132" s="710" t="str">
        <f t="shared" si="23"/>
        <v>Public Toilets</v>
      </c>
      <c r="B132" s="634"/>
      <c r="C132" s="752"/>
      <c r="D132" s="752"/>
      <c r="E132" s="752"/>
      <c r="F132" s="752"/>
      <c r="G132" s="752"/>
      <c r="H132" s="752"/>
      <c r="I132" s="415">
        <f t="shared" si="21"/>
        <v>0</v>
      </c>
      <c r="J132" s="415" t="str">
        <f t="shared" si="22"/>
        <v/>
      </c>
      <c r="K132" s="754"/>
      <c r="L132" s="101"/>
    </row>
    <row r="133" spans="1:12">
      <c r="A133" s="621" t="str">
        <f t="shared" si="23"/>
        <v>Waste management</v>
      </c>
      <c r="B133" s="634"/>
      <c r="C133" s="625">
        <f t="shared" ref="C133:K133" si="38">SUM(C134)</f>
        <v>0</v>
      </c>
      <c r="D133" s="625">
        <f t="shared" si="38"/>
        <v>40608221.189999998</v>
      </c>
      <c r="E133" s="625">
        <f t="shared" si="38"/>
        <v>0</v>
      </c>
      <c r="F133" s="625">
        <f t="shared" si="38"/>
        <v>3415000</v>
      </c>
      <c r="G133" s="625">
        <f t="shared" si="38"/>
        <v>20101000</v>
      </c>
      <c r="H133" s="625">
        <f t="shared" si="38"/>
        <v>40608221.189999998</v>
      </c>
      <c r="I133" s="625">
        <f t="shared" si="21"/>
        <v>-20507221.189999998</v>
      </c>
      <c r="J133" s="625">
        <f t="shared" si="22"/>
        <v>-0.50500171120644943</v>
      </c>
      <c r="K133" s="628">
        <f t="shared" si="38"/>
        <v>40608221.189999998</v>
      </c>
      <c r="L133" s="101"/>
    </row>
    <row r="134" spans="1:12">
      <c r="A134" s="710" t="str">
        <f t="shared" si="23"/>
        <v>Solid Waste</v>
      </c>
      <c r="B134" s="422"/>
      <c r="C134" s="752"/>
      <c r="D134" s="752">
        <v>40608221.189999998</v>
      </c>
      <c r="E134" s="752"/>
      <c r="F134" s="752">
        <v>3415000</v>
      </c>
      <c r="G134" s="752">
        <f>2449000+2789000+2395000+2700000+3095000+3258000+3415000</f>
        <v>20101000</v>
      </c>
      <c r="H134" s="752">
        <v>40608221.189999998</v>
      </c>
      <c r="I134" s="415">
        <f t="shared" si="21"/>
        <v>-20507221.189999998</v>
      </c>
      <c r="J134" s="415">
        <f t="shared" si="22"/>
        <v>-0.50500171120644943</v>
      </c>
      <c r="K134" s="752">
        <v>40608221.189999998</v>
      </c>
      <c r="L134" s="101"/>
    </row>
    <row r="135" spans="1:12">
      <c r="A135" s="421" t="str">
        <f t="shared" si="23"/>
        <v>Other</v>
      </c>
      <c r="B135" s="422"/>
      <c r="C135" s="625">
        <f t="shared" ref="C135:K135" si="39">SUM(C136:C140)</f>
        <v>0</v>
      </c>
      <c r="D135" s="625">
        <f t="shared" si="39"/>
        <v>2782007.99</v>
      </c>
      <c r="E135" s="625">
        <f t="shared" si="39"/>
        <v>0</v>
      </c>
      <c r="F135" s="625">
        <f t="shared" si="39"/>
        <v>34000</v>
      </c>
      <c r="G135" s="625">
        <f t="shared" si="39"/>
        <v>239000</v>
      </c>
      <c r="H135" s="625">
        <f t="shared" si="39"/>
        <v>2782007.99</v>
      </c>
      <c r="I135" s="625">
        <f t="shared" si="21"/>
        <v>-2543007.9900000002</v>
      </c>
      <c r="J135" s="625">
        <f t="shared" si="22"/>
        <v>-0.91409082904898487</v>
      </c>
      <c r="K135" s="628">
        <f t="shared" si="39"/>
        <v>2782007.99</v>
      </c>
      <c r="L135" s="101"/>
    </row>
    <row r="136" spans="1:12">
      <c r="A136" s="621" t="str">
        <f t="shared" si="23"/>
        <v>Air Transport</v>
      </c>
      <c r="B136" s="422"/>
      <c r="C136" s="752"/>
      <c r="D136" s="752"/>
      <c r="E136" s="752"/>
      <c r="F136" s="752"/>
      <c r="G136" s="752"/>
      <c r="H136" s="752"/>
      <c r="I136" s="415">
        <f t="shared" si="21"/>
        <v>0</v>
      </c>
      <c r="J136" s="415" t="str">
        <f t="shared" si="22"/>
        <v/>
      </c>
      <c r="K136" s="752"/>
      <c r="L136" s="101"/>
    </row>
    <row r="137" spans="1:12">
      <c r="A137" s="621" t="str">
        <f t="shared" si="23"/>
        <v>Abattoirs</v>
      </c>
      <c r="B137" s="422"/>
      <c r="C137" s="752"/>
      <c r="D137" s="752"/>
      <c r="E137" s="752"/>
      <c r="F137" s="752"/>
      <c r="G137" s="752"/>
      <c r="H137" s="752"/>
      <c r="I137" s="415">
        <f t="shared" si="21"/>
        <v>0</v>
      </c>
      <c r="J137" s="415" t="str">
        <f t="shared" si="22"/>
        <v/>
      </c>
      <c r="K137" s="752"/>
      <c r="L137" s="101"/>
    </row>
    <row r="138" spans="1:12">
      <c r="A138" s="621" t="str">
        <f t="shared" si="23"/>
        <v>Tourism</v>
      </c>
      <c r="B138" s="422"/>
      <c r="C138" s="752"/>
      <c r="D138" s="752">
        <v>2782007.99</v>
      </c>
      <c r="E138" s="752"/>
      <c r="F138" s="752">
        <f>34000</f>
        <v>34000</v>
      </c>
      <c r="G138" s="752">
        <f>18000+20000+20000+58000+68000+21000+34000</f>
        <v>239000</v>
      </c>
      <c r="H138" s="752">
        <v>2782007.99</v>
      </c>
      <c r="I138" s="415">
        <f t="shared" si="21"/>
        <v>-2543007.9900000002</v>
      </c>
      <c r="J138" s="415">
        <f t="shared" si="22"/>
        <v>-0.91409082904898487</v>
      </c>
      <c r="K138" s="752">
        <v>2782007.99</v>
      </c>
      <c r="L138" s="101"/>
    </row>
    <row r="139" spans="1:12">
      <c r="A139" s="621" t="str">
        <f t="shared" si="23"/>
        <v>Forestry</v>
      </c>
      <c r="B139" s="422"/>
      <c r="C139" s="752"/>
      <c r="D139" s="752"/>
      <c r="E139" s="752"/>
      <c r="F139" s="752"/>
      <c r="G139" s="752"/>
      <c r="H139" s="752"/>
      <c r="I139" s="415">
        <f>G139-H139</f>
        <v>0</v>
      </c>
      <c r="J139" s="415" t="str">
        <f>IF(I139=0,"",I139/H139)</f>
        <v/>
      </c>
      <c r="K139" s="752"/>
      <c r="L139" s="101"/>
    </row>
    <row r="140" spans="1:12">
      <c r="A140" s="621" t="str">
        <f>A71</f>
        <v>Markets</v>
      </c>
      <c r="B140" s="422"/>
      <c r="C140" s="752"/>
      <c r="D140" s="752"/>
      <c r="E140" s="752"/>
      <c r="F140" s="752"/>
      <c r="G140" s="752"/>
      <c r="H140" s="752"/>
      <c r="I140" s="415">
        <f>G140-H140</f>
        <v>0</v>
      </c>
      <c r="J140" s="415" t="str">
        <f>IF(I140=0,"",I140/H140)</f>
        <v/>
      </c>
      <c r="K140" s="752"/>
      <c r="L140" s="101"/>
    </row>
    <row r="141" spans="1:12">
      <c r="A141" s="629" t="str">
        <f>"Total "&amp;A74</f>
        <v>Total Expenditure - Standard</v>
      </c>
      <c r="B141" s="422">
        <v>3</v>
      </c>
      <c r="C141" s="553">
        <f>C75+C85+C107+C122+C135</f>
        <v>0</v>
      </c>
      <c r="D141" s="553">
        <f t="shared" ref="D141:I141" si="40">D75+D85+D107+D122+D135</f>
        <v>1153147766.8629999</v>
      </c>
      <c r="E141" s="553">
        <f t="shared" si="40"/>
        <v>0</v>
      </c>
      <c r="F141" s="553">
        <f t="shared" si="40"/>
        <v>63788775</v>
      </c>
      <c r="G141" s="553">
        <f t="shared" si="40"/>
        <v>599219013</v>
      </c>
      <c r="H141" s="553">
        <f t="shared" si="40"/>
        <v>1153147766.8629999</v>
      </c>
      <c r="I141" s="553">
        <f t="shared" si="40"/>
        <v>-553928753.86300004</v>
      </c>
      <c r="J141" s="553">
        <f>IF(I141=0,"",I141/H141)</f>
        <v>-0.48036233497628555</v>
      </c>
      <c r="K141" s="611">
        <f>K75+K85+K107+K122+K135</f>
        <v>1153147766.8629999</v>
      </c>
      <c r="L141" s="101"/>
    </row>
    <row r="142" spans="1:12">
      <c r="A142" s="635" t="str">
        <f>result</f>
        <v>Surplus/ (Deficit) for the year</v>
      </c>
      <c r="B142" s="636"/>
      <c r="C142" s="77">
        <f t="shared" ref="C142:K142" si="41">C72-C141</f>
        <v>0</v>
      </c>
      <c r="D142" s="77">
        <f t="shared" si="41"/>
        <v>617711.17700004578</v>
      </c>
      <c r="E142" s="77">
        <f t="shared" si="41"/>
        <v>0</v>
      </c>
      <c r="F142" s="77">
        <f t="shared" si="41"/>
        <v>-20323541.579999998</v>
      </c>
      <c r="G142" s="77">
        <f t="shared" si="41"/>
        <v>10354107.519999981</v>
      </c>
      <c r="H142" s="77">
        <f t="shared" si="41"/>
        <v>617711.17700004578</v>
      </c>
      <c r="I142" s="648">
        <f>G142-H142</f>
        <v>9736396.3429999352</v>
      </c>
      <c r="J142" s="648">
        <f>IF(I142=0,"",I142/H142)</f>
        <v>15.76205305250485</v>
      </c>
      <c r="K142" s="235">
        <f t="shared" si="41"/>
        <v>617711.17700004578</v>
      </c>
      <c r="L142" s="101"/>
    </row>
    <row r="143" spans="1:12">
      <c r="A143" s="637" t="str">
        <f>head27a</f>
        <v>References</v>
      </c>
      <c r="B143" s="638"/>
      <c r="C143" s="639"/>
      <c r="D143" s="639"/>
      <c r="E143" s="639"/>
      <c r="F143" s="639"/>
      <c r="G143" s="639"/>
      <c r="H143" s="639"/>
      <c r="I143" s="649"/>
      <c r="J143" s="649"/>
      <c r="K143" s="639"/>
    </row>
    <row r="144" spans="1:12">
      <c r="A144" s="598" t="s">
        <v>235</v>
      </c>
      <c r="B144" s="638"/>
      <c r="C144" s="640"/>
      <c r="D144" s="640"/>
      <c r="E144" s="641"/>
      <c r="F144" s="641"/>
      <c r="G144" s="641"/>
      <c r="H144" s="641"/>
      <c r="I144" s="650"/>
      <c r="J144" s="650"/>
      <c r="K144" s="641"/>
    </row>
    <row r="145" spans="1:11">
      <c r="A145" s="494" t="s">
        <v>236</v>
      </c>
      <c r="B145" s="638"/>
      <c r="C145" s="640"/>
      <c r="D145" s="640"/>
      <c r="E145" s="641"/>
      <c r="F145" s="641"/>
      <c r="G145" s="641"/>
      <c r="H145" s="641"/>
      <c r="I145" s="650"/>
      <c r="J145" s="650"/>
      <c r="K145" s="641"/>
    </row>
    <row r="146" spans="1:11">
      <c r="A146" s="598" t="s">
        <v>237</v>
      </c>
      <c r="B146" s="638"/>
      <c r="C146" s="640"/>
      <c r="D146" s="640"/>
      <c r="E146" s="641"/>
      <c r="F146" s="641"/>
      <c r="G146" s="641"/>
      <c r="H146" s="641"/>
      <c r="I146" s="650"/>
      <c r="J146" s="650"/>
      <c r="K146" s="641"/>
    </row>
    <row r="147" spans="1:11">
      <c r="A147" s="986" t="s">
        <v>238</v>
      </c>
      <c r="B147" s="986"/>
      <c r="C147" s="986"/>
      <c r="D147" s="986"/>
      <c r="E147" s="986"/>
      <c r="F147" s="986"/>
      <c r="G147" s="986"/>
      <c r="H147" s="986"/>
      <c r="I147" s="986"/>
      <c r="J147" s="986"/>
      <c r="K147" s="986"/>
    </row>
    <row r="148" spans="1:11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>
      <c r="A150" s="82" t="s">
        <v>239</v>
      </c>
      <c r="B150" s="65"/>
      <c r="C150" s="642">
        <f>C72</f>
        <v>0</v>
      </c>
      <c r="D150" s="642">
        <v>0</v>
      </c>
      <c r="E150" s="643">
        <v>0</v>
      </c>
      <c r="F150" s="642">
        <v>0</v>
      </c>
      <c r="G150" s="642">
        <v>0</v>
      </c>
      <c r="H150" s="642">
        <v>0</v>
      </c>
      <c r="I150" s="643">
        <v>0</v>
      </c>
      <c r="J150" s="643"/>
      <c r="K150" s="642">
        <v>0</v>
      </c>
    </row>
    <row r="151" spans="1:11">
      <c r="A151" s="82" t="s">
        <v>240</v>
      </c>
      <c r="B151" s="65"/>
      <c r="C151" s="642">
        <v>0</v>
      </c>
      <c r="D151" s="642">
        <v>0</v>
      </c>
      <c r="E151" s="643">
        <v>0</v>
      </c>
      <c r="F151" s="642">
        <v>0</v>
      </c>
      <c r="G151" s="642">
        <v>0</v>
      </c>
      <c r="H151" s="642">
        <v>0</v>
      </c>
      <c r="I151" s="643">
        <v>0</v>
      </c>
      <c r="J151" s="643"/>
      <c r="K151" s="642">
        <v>0</v>
      </c>
    </row>
    <row r="155" spans="1:11">
      <c r="E155" s="644"/>
    </row>
  </sheetData>
  <mergeCells count="4">
    <mergeCell ref="A147:K147"/>
    <mergeCell ref="A1:K1"/>
    <mergeCell ref="A2:A3"/>
    <mergeCell ref="B2:B3"/>
  </mergeCells>
  <phoneticPr fontId="3" type="noConversion"/>
  <pageMargins left="0.75" right="0.75" top="1" bottom="1" header="0.5" footer="0.5"/>
  <pageSetup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35" sqref="G35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>
      <c r="A1" s="985" t="str">
        <f>muni&amp; " - "&amp;S71C&amp; " - "&amp;date</f>
        <v>FS194 Maluti-a-Phofung - Table C3 Consolidated Monthly Budget Statement - Financial Performance (revenue and expenditure by municipal vote)  - M07 January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24">
      <c r="A2" s="20" t="str">
        <f>Vdesc</f>
        <v>Vote Description</v>
      </c>
      <c r="B2" s="976" t="str">
        <f>head27</f>
        <v>Ref</v>
      </c>
      <c r="C2" s="143" t="str">
        <f>Head1</f>
        <v>2012/13</v>
      </c>
      <c r="D2" s="978" t="str">
        <f>Head2</f>
        <v>Budget Year 2013/14</v>
      </c>
      <c r="E2" s="979"/>
      <c r="F2" s="979"/>
      <c r="G2" s="979"/>
      <c r="H2" s="979"/>
      <c r="I2" s="979"/>
      <c r="J2" s="979"/>
      <c r="K2" s="980"/>
    </row>
    <row r="3" spans="1:24" ht="25.5">
      <c r="A3" s="169"/>
      <c r="B3" s="987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>
      <c r="A4" s="35" t="s">
        <v>821</v>
      </c>
      <c r="B4" s="988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>
      <c r="A5" s="36" t="s">
        <v>920</v>
      </c>
      <c r="B5" s="170">
        <v>1</v>
      </c>
      <c r="C5" s="240"/>
      <c r="D5" s="238"/>
      <c r="E5" s="239"/>
      <c r="F5" s="239"/>
      <c r="G5" s="239"/>
      <c r="H5" s="239"/>
      <c r="I5" s="239"/>
      <c r="J5" s="733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>
      <c r="A6" s="414" t="str">
        <f>'Org structure'!A2</f>
        <v>Vote 1 - Legislative Authority</v>
      </c>
      <c r="B6" s="170"/>
      <c r="C6" s="135">
        <f>'C3C'!C6</f>
        <v>0</v>
      </c>
      <c r="D6" s="47">
        <f>'C3C'!D6</f>
        <v>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0</v>
      </c>
      <c r="I6" s="45">
        <f>G6-H6</f>
        <v>0</v>
      </c>
      <c r="J6" s="734" t="str">
        <f>IF(I6=0,"",I6/H6)</f>
        <v/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>
      <c r="A7" s="414" t="str">
        <f>'Org structure'!A3</f>
        <v>Vote 2 - Office of the Municipal Manager</v>
      </c>
      <c r="B7" s="170"/>
      <c r="C7" s="135">
        <f>'C3C'!C17</f>
        <v>0</v>
      </c>
      <c r="D7" s="47">
        <f>'C3C'!D17</f>
        <v>0</v>
      </c>
      <c r="E7" s="45">
        <f>'C3C'!E17</f>
        <v>0</v>
      </c>
      <c r="F7" s="45">
        <f>'C3C'!F17</f>
        <v>0</v>
      </c>
      <c r="G7" s="45">
        <f>'C3C'!G17</f>
        <v>0</v>
      </c>
      <c r="H7" s="45">
        <f>'C3C'!H17</f>
        <v>0</v>
      </c>
      <c r="I7" s="45">
        <f t="shared" ref="I7:I20" si="0">G7-H7</f>
        <v>0</v>
      </c>
      <c r="J7" s="734" t="str">
        <f t="shared" ref="J7:J21" si="1">IF(I7=0,"",I7/H7)</f>
        <v/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>
      <c r="A8" s="414" t="str">
        <f>'Org structure'!A4</f>
        <v>Vote 3 - Corporate Services</v>
      </c>
      <c r="B8" s="170"/>
      <c r="C8" s="135">
        <f>'C3C'!C28</f>
        <v>0</v>
      </c>
      <c r="D8" s="47">
        <f>'C3C'!D28</f>
        <v>55125</v>
      </c>
      <c r="E8" s="45">
        <f>'C3C'!E28</f>
        <v>0</v>
      </c>
      <c r="F8" s="45">
        <f>'C3C'!F28</f>
        <v>1065.78</v>
      </c>
      <c r="G8" s="45">
        <f>'C3C'!G28</f>
        <v>690986.04</v>
      </c>
      <c r="H8" s="45">
        <f>'C3C'!H28</f>
        <v>55125</v>
      </c>
      <c r="I8" s="45">
        <f t="shared" si="0"/>
        <v>635861.04</v>
      </c>
      <c r="J8" s="734">
        <f t="shared" si="1"/>
        <v>11.534894149659864</v>
      </c>
      <c r="K8" s="145">
        <f>'C3C'!K28</f>
        <v>55125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>
      <c r="A9" s="414" t="str">
        <f>'Org structure'!A5</f>
        <v>Vote 4 - Financial Services</v>
      </c>
      <c r="B9" s="170"/>
      <c r="C9" s="135">
        <f>'C3C'!C39</f>
        <v>0</v>
      </c>
      <c r="D9" s="47">
        <f>'C3C'!D39</f>
        <v>574458639.03999996</v>
      </c>
      <c r="E9" s="45">
        <f>'C3C'!E39</f>
        <v>0</v>
      </c>
      <c r="F9" s="45">
        <f>'C3C'!F39</f>
        <v>13790305.199999999</v>
      </c>
      <c r="G9" s="45">
        <f>'C3C'!G39</f>
        <v>364092343.88</v>
      </c>
      <c r="H9" s="45">
        <f>'C3C'!H39</f>
        <v>574458639.03999996</v>
      </c>
      <c r="I9" s="45">
        <f t="shared" si="0"/>
        <v>-210366295.15999997</v>
      </c>
      <c r="J9" s="734">
        <f t="shared" si="1"/>
        <v>-0.36619920193306033</v>
      </c>
      <c r="K9" s="145">
        <f>'C3C'!K39</f>
        <v>574458639.03999996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>
      <c r="A10" s="414" t="str">
        <f>'Org structure'!A6</f>
        <v>Vote 5 - Municipal Infrastructure</v>
      </c>
      <c r="B10" s="170"/>
      <c r="C10" s="135">
        <f>'C3C'!C50</f>
        <v>0</v>
      </c>
      <c r="D10" s="47">
        <f>'C3C'!D50</f>
        <v>386559048</v>
      </c>
      <c r="E10" s="45">
        <f>'C3C'!E50</f>
        <v>0</v>
      </c>
      <c r="F10" s="45">
        <f>'C3C'!F50</f>
        <v>19317634.129999999</v>
      </c>
      <c r="G10" s="45">
        <f>'C3C'!G50</f>
        <v>138798509.72999999</v>
      </c>
      <c r="H10" s="45">
        <f>'C3C'!H50</f>
        <v>386559048</v>
      </c>
      <c r="I10" s="45">
        <f t="shared" si="0"/>
        <v>-247760538.27000001</v>
      </c>
      <c r="J10" s="734">
        <f t="shared" si="1"/>
        <v>-0.64093840139527669</v>
      </c>
      <c r="K10" s="145">
        <f>'C3C'!K50</f>
        <v>386559048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>
      <c r="A11" s="414" t="str">
        <f>'Org structure'!A7</f>
        <v>Vote 6 - Community Services</v>
      </c>
      <c r="B11" s="170"/>
      <c r="C11" s="135">
        <f>'C3C'!C61</f>
        <v>0</v>
      </c>
      <c r="D11" s="47">
        <f>'C3C'!D61</f>
        <v>7166</v>
      </c>
      <c r="E11" s="45">
        <f>'C3C'!E61</f>
        <v>0</v>
      </c>
      <c r="F11" s="45">
        <f>'C3C'!F61</f>
        <v>46.52</v>
      </c>
      <c r="G11" s="45">
        <f>'C3C'!G61</f>
        <v>1437.71</v>
      </c>
      <c r="H11" s="45">
        <f>'C3C'!H61</f>
        <v>7166</v>
      </c>
      <c r="I11" s="45">
        <f t="shared" si="0"/>
        <v>-5728.29</v>
      </c>
      <c r="J11" s="734">
        <f t="shared" si="1"/>
        <v>-0.79937063912922135</v>
      </c>
      <c r="K11" s="145">
        <f>'C3C'!K61</f>
        <v>7166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>
      <c r="A12" s="414" t="str">
        <f>'Org structure'!A8</f>
        <v>Vote 7 - Public Safety</v>
      </c>
      <c r="B12" s="170"/>
      <c r="C12" s="135">
        <f>'C3C'!C72</f>
        <v>0</v>
      </c>
      <c r="D12" s="47">
        <f>'C3C'!D72</f>
        <v>3348880</v>
      </c>
      <c r="E12" s="45">
        <f>'C3C'!E72</f>
        <v>0</v>
      </c>
      <c r="F12" s="45">
        <f>'C3C'!F72</f>
        <v>49617.66</v>
      </c>
      <c r="G12" s="45">
        <f>'C3C'!G72</f>
        <v>895763.10000000009</v>
      </c>
      <c r="H12" s="45">
        <f>'C3C'!H72</f>
        <v>3348880</v>
      </c>
      <c r="I12" s="45">
        <f t="shared" si="0"/>
        <v>-2453116.9</v>
      </c>
      <c r="J12" s="734">
        <f t="shared" si="1"/>
        <v>-0.73251860323451423</v>
      </c>
      <c r="K12" s="145">
        <f>'C3C'!K72</f>
        <v>3348880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>
      <c r="A13" s="414" t="str">
        <f>'Org structure'!A9</f>
        <v>Vote 8 - Parks, Sports &amp; Recreation</v>
      </c>
      <c r="B13" s="170"/>
      <c r="C13" s="135">
        <f>'C3C'!C83</f>
        <v>0</v>
      </c>
      <c r="D13" s="47">
        <f>'C3C'!D83</f>
        <v>1585875</v>
      </c>
      <c r="E13" s="45">
        <f>'C3C'!E83</f>
        <v>0</v>
      </c>
      <c r="F13" s="45">
        <f>'C3C'!F83</f>
        <v>52214.22</v>
      </c>
      <c r="G13" s="45">
        <f>'C3C'!G83</f>
        <v>690505.55999999994</v>
      </c>
      <c r="H13" s="45">
        <f>'C3C'!H83</f>
        <v>1585875</v>
      </c>
      <c r="I13" s="45">
        <f t="shared" si="0"/>
        <v>-895369.44000000006</v>
      </c>
      <c r="J13" s="734">
        <f t="shared" si="1"/>
        <v>-0.56459017261764011</v>
      </c>
      <c r="K13" s="145">
        <f>'C3C'!K83</f>
        <v>1585875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>
      <c r="A14" s="414" t="str">
        <f>'Org structure'!A10</f>
        <v>Vote 9 - LED &amp; Tourism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34" t="str">
        <f t="shared" si="1"/>
        <v/>
      </c>
      <c r="K14" s="145">
        <f>'C3C'!K94</f>
        <v>0</v>
      </c>
      <c r="L14" s="711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>
      <c r="A15" s="414" t="str">
        <f>'Org structure'!A11</f>
        <v>Vote 10 - Housing Spatial Development &amp; Planning</v>
      </c>
      <c r="B15" s="170"/>
      <c r="C15" s="135">
        <f>'C3C'!C105</f>
        <v>0</v>
      </c>
      <c r="D15" s="47">
        <f>'C3C'!D105</f>
        <v>1409745</v>
      </c>
      <c r="E15" s="45">
        <f>'C3C'!E105</f>
        <v>0</v>
      </c>
      <c r="F15" s="45">
        <f>'C3C'!F105</f>
        <v>26769.370000000003</v>
      </c>
      <c r="G15" s="45">
        <f>'C3C'!G105</f>
        <v>304751.35999999999</v>
      </c>
      <c r="H15" s="45">
        <f>'C3C'!H105</f>
        <v>1409745</v>
      </c>
      <c r="I15" s="45">
        <f t="shared" si="0"/>
        <v>-1104993.6400000001</v>
      </c>
      <c r="J15" s="734">
        <f t="shared" si="1"/>
        <v>-0.78382518824326397</v>
      </c>
      <c r="K15" s="145">
        <f>'C3C'!K105</f>
        <v>1409745</v>
      </c>
      <c r="L15" s="711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>
      <c r="A16" s="414" t="str">
        <f>'Org structure'!A12</f>
        <v>Vote 11 - Water &amp; Sanitation</v>
      </c>
      <c r="B16" s="170"/>
      <c r="C16" s="135">
        <f>'C3C'!C116</f>
        <v>0</v>
      </c>
      <c r="D16" s="47">
        <f>'C3C'!D116</f>
        <v>66000000</v>
      </c>
      <c r="E16" s="45">
        <f>'C3C'!E116</f>
        <v>0</v>
      </c>
      <c r="F16" s="45">
        <f>'C3C'!F116</f>
        <v>9588704.4500000011</v>
      </c>
      <c r="G16" s="45">
        <f>'C3C'!G116</f>
        <v>64876637.700000003</v>
      </c>
      <c r="H16" s="45">
        <f>'C3C'!H116</f>
        <v>66000000</v>
      </c>
      <c r="I16" s="45">
        <f t="shared" si="0"/>
        <v>-1123362.299999997</v>
      </c>
      <c r="J16" s="734">
        <f t="shared" si="1"/>
        <v>-1.7020640909090865E-2</v>
      </c>
      <c r="K16" s="145">
        <f>'C3C'!K116</f>
        <v>66000000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>
      <c r="A17" s="414" t="str">
        <f>'Org structure'!A13</f>
        <v>Vote 12 - Water</v>
      </c>
      <c r="B17" s="170"/>
      <c r="C17" s="135">
        <f>'C3C'!C127</f>
        <v>0</v>
      </c>
      <c r="D17" s="47">
        <f>'C3C'!D127</f>
        <v>120341000</v>
      </c>
      <c r="E17" s="45">
        <f>'C3C'!E127</f>
        <v>0</v>
      </c>
      <c r="F17" s="45">
        <f>'C3C'!F127</f>
        <v>638416.67000000004</v>
      </c>
      <c r="G17" s="45">
        <f>'C3C'!G127</f>
        <v>39221917.020000003</v>
      </c>
      <c r="H17" s="45">
        <f>'C3C'!H127</f>
        <v>120341000</v>
      </c>
      <c r="I17" s="45">
        <f t="shared" si="0"/>
        <v>-81119082.979999989</v>
      </c>
      <c r="J17" s="734">
        <f t="shared" si="1"/>
        <v>-0.67407685643296955</v>
      </c>
      <c r="K17" s="145">
        <f>'C3C'!K127</f>
        <v>120341000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>
      <c r="A18" s="414" t="str">
        <f>'Org structure'!A14</f>
        <v xml:space="preserve">Vote 13 - 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34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>
      <c r="A19" s="414" t="str">
        <f>'Org structure'!A15</f>
        <v xml:space="preserve">Vote 14 - 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34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>
      <c r="A20" s="414" t="str">
        <f>'Org structure'!A16</f>
        <v xml:space="preserve">Vote 15 - 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34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>
      <c r="A21" s="93" t="s">
        <v>788</v>
      </c>
      <c r="B21" s="234">
        <v>2</v>
      </c>
      <c r="C21" s="146">
        <f>SUM(C6:C20)</f>
        <v>0</v>
      </c>
      <c r="D21" s="75">
        <f t="shared" ref="D21:I21" si="2">SUM(D6:D20)</f>
        <v>1153765478.04</v>
      </c>
      <c r="E21" s="74">
        <f t="shared" si="2"/>
        <v>0</v>
      </c>
      <c r="F21" s="74">
        <f t="shared" si="2"/>
        <v>43464774</v>
      </c>
      <c r="G21" s="74">
        <f t="shared" si="2"/>
        <v>609572852.10000002</v>
      </c>
      <c r="H21" s="74">
        <f t="shared" si="2"/>
        <v>1153765478.04</v>
      </c>
      <c r="I21" s="74">
        <f t="shared" si="2"/>
        <v>-544192625.93999994</v>
      </c>
      <c r="J21" s="735">
        <f t="shared" si="1"/>
        <v>-0.47166658761923302</v>
      </c>
      <c r="K21" s="146">
        <f>SUM(K6:K20)</f>
        <v>1153765478.04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>
      <c r="A22" s="43"/>
      <c r="B22" s="170"/>
      <c r="C22" s="145"/>
      <c r="D22" s="47"/>
      <c r="E22" s="45"/>
      <c r="F22" s="45"/>
      <c r="G22" s="45"/>
      <c r="H22" s="45"/>
      <c r="I22" s="45"/>
      <c r="J22" s="736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>
      <c r="A23" s="36" t="s">
        <v>921</v>
      </c>
      <c r="B23" s="170">
        <v>1</v>
      </c>
      <c r="C23" s="145"/>
      <c r="D23" s="47"/>
      <c r="E23" s="45"/>
      <c r="F23" s="45"/>
      <c r="G23" s="45"/>
      <c r="H23" s="45"/>
      <c r="I23" s="45"/>
      <c r="J23" s="736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>
      <c r="A24" s="40" t="str">
        <f>'Org structure'!A2</f>
        <v>Vote 1 - Legislative Authority</v>
      </c>
      <c r="B24" s="170"/>
      <c r="C24" s="135">
        <f>'C3C'!C174</f>
        <v>0</v>
      </c>
      <c r="D24" s="47">
        <f>'C3C'!D174</f>
        <v>37787800.577519998</v>
      </c>
      <c r="E24" s="45">
        <f>'C3C'!E174</f>
        <v>0</v>
      </c>
      <c r="F24" s="45">
        <f>'C3C'!F174</f>
        <v>2142816.7000000002</v>
      </c>
      <c r="G24" s="45">
        <f>'C3C'!G174</f>
        <v>17209270.68</v>
      </c>
      <c r="H24" s="45">
        <f>'C3C'!H174</f>
        <v>37787800.577519998</v>
      </c>
      <c r="I24" s="45">
        <f t="shared" ref="I24:I38" si="3">G24-H24</f>
        <v>-20578529.897519998</v>
      </c>
      <c r="J24" s="734">
        <f t="shared" ref="J24:J29" si="4">IF(I24=0,"",I24/H24)</f>
        <v>-0.54458130886194489</v>
      </c>
      <c r="K24" s="145">
        <f>'C3C'!K174</f>
        <v>37787800.577519998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>
      <c r="A25" s="40" t="str">
        <f>'Org structure'!A3</f>
        <v>Vote 2 - Office of the Municipal Manager</v>
      </c>
      <c r="B25" s="170"/>
      <c r="C25" s="135">
        <f>'C3C'!C185</f>
        <v>0</v>
      </c>
      <c r="D25" s="47">
        <f>'C3C'!D185</f>
        <v>28556727.209999997</v>
      </c>
      <c r="E25" s="45">
        <f>'C3C'!E185</f>
        <v>0</v>
      </c>
      <c r="F25" s="45">
        <f>'C3C'!F185</f>
        <v>1015367.0599999998</v>
      </c>
      <c r="G25" s="45">
        <f>'C3C'!G185</f>
        <v>5993101.3500000006</v>
      </c>
      <c r="H25" s="45">
        <f>'C3C'!H185</f>
        <v>28556727.209999997</v>
      </c>
      <c r="I25" s="45">
        <f t="shared" si="3"/>
        <v>-22563625.859999996</v>
      </c>
      <c r="J25" s="734">
        <f t="shared" si="4"/>
        <v>-0.79013346641833182</v>
      </c>
      <c r="K25" s="145">
        <f>'C3C'!K185</f>
        <v>28556727.209999997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>
      <c r="A26" s="40" t="str">
        <f>'Org structure'!A4</f>
        <v>Vote 3 - Corporate Services</v>
      </c>
      <c r="B26" s="170"/>
      <c r="C26" s="135">
        <f>'C3C'!C196</f>
        <v>0</v>
      </c>
      <c r="D26" s="47">
        <f>'C3C'!D196</f>
        <v>33581885.149999999</v>
      </c>
      <c r="E26" s="45">
        <f>'C3C'!E196</f>
        <v>0</v>
      </c>
      <c r="F26" s="45">
        <f>'C3C'!F196</f>
        <v>1610959.4000000001</v>
      </c>
      <c r="G26" s="45">
        <f>'C3C'!G196</f>
        <v>11826477.1</v>
      </c>
      <c r="H26" s="45">
        <f>'C3C'!H196</f>
        <v>33581885.149999999</v>
      </c>
      <c r="I26" s="45">
        <f t="shared" si="3"/>
        <v>-21755408.049999997</v>
      </c>
      <c r="J26" s="734">
        <f t="shared" si="4"/>
        <v>-0.6478316494986881</v>
      </c>
      <c r="K26" s="145">
        <f>'C3C'!K196</f>
        <v>33581885.149999999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>
      <c r="A27" s="40" t="str">
        <f>'Org structure'!A5</f>
        <v>Vote 4 - Financial Services</v>
      </c>
      <c r="B27" s="170"/>
      <c r="C27" s="135">
        <f>'C3C'!C207</f>
        <v>0</v>
      </c>
      <c r="D27" s="47">
        <f>'C3C'!D207</f>
        <v>340400036.80000007</v>
      </c>
      <c r="E27" s="45">
        <f>'C3C'!E207</f>
        <v>0</v>
      </c>
      <c r="F27" s="45">
        <f>'C3C'!F207</f>
        <v>19166569.91</v>
      </c>
      <c r="G27" s="45">
        <f>'C3C'!G207</f>
        <v>141438190.31</v>
      </c>
      <c r="H27" s="45">
        <f>'C3C'!H207</f>
        <v>340400036.80000007</v>
      </c>
      <c r="I27" s="45">
        <f t="shared" si="3"/>
        <v>-198961846.49000007</v>
      </c>
      <c r="J27" s="734">
        <f t="shared" si="4"/>
        <v>-0.58449419794539814</v>
      </c>
      <c r="K27" s="145">
        <f>'C3C'!K207</f>
        <v>340400036.80000007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>
      <c r="A28" s="40" t="str">
        <f>'Org structure'!A6</f>
        <v>Vote 5 - Municipal Infrastructure</v>
      </c>
      <c r="B28" s="170"/>
      <c r="C28" s="135">
        <f>'C3C'!C218</f>
        <v>0</v>
      </c>
      <c r="D28" s="47">
        <f>'C3C'!D218</f>
        <v>432385631.66300005</v>
      </c>
      <c r="E28" s="45">
        <f>'C3C'!E218</f>
        <v>0</v>
      </c>
      <c r="F28" s="45">
        <f>'C3C'!F218</f>
        <v>19732259.129999999</v>
      </c>
      <c r="G28" s="45">
        <f>'C3C'!G218</f>
        <v>277007835.75000006</v>
      </c>
      <c r="H28" s="45">
        <f>'C3C'!H218</f>
        <v>432385631.66300005</v>
      </c>
      <c r="I28" s="45">
        <f t="shared" si="3"/>
        <v>-155377795.91299999</v>
      </c>
      <c r="J28" s="734">
        <f t="shared" si="4"/>
        <v>-0.35935004434675788</v>
      </c>
      <c r="K28" s="145">
        <f>'C3C'!K218</f>
        <v>432385631.66300005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>
      <c r="A29" s="40" t="str">
        <f>'Org structure'!A7</f>
        <v>Vote 6 - Community Services</v>
      </c>
      <c r="B29" s="170"/>
      <c r="C29" s="135">
        <f>'C3C'!C229</f>
        <v>0</v>
      </c>
      <c r="D29" s="47">
        <f>'C3C'!D229</f>
        <v>11326055.839</v>
      </c>
      <c r="E29" s="45">
        <f>'C3C'!E229</f>
        <v>0</v>
      </c>
      <c r="F29" s="45">
        <f>'C3C'!F229</f>
        <v>513046.05</v>
      </c>
      <c r="G29" s="45">
        <f>'C3C'!G229</f>
        <v>3371035.7700000005</v>
      </c>
      <c r="H29" s="45">
        <f>'C3C'!H229</f>
        <v>11326055.839</v>
      </c>
      <c r="I29" s="45">
        <f t="shared" si="3"/>
        <v>-7955020.0689999992</v>
      </c>
      <c r="J29" s="734">
        <f t="shared" si="4"/>
        <v>-0.7023645461474578</v>
      </c>
      <c r="K29" s="145">
        <f>'C3C'!K229</f>
        <v>11326055.839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>
      <c r="A30" s="40" t="str">
        <f>'Org structure'!A8</f>
        <v>Vote 7 - Public Safety</v>
      </c>
      <c r="B30" s="170"/>
      <c r="C30" s="135">
        <f>'C3C'!C240</f>
        <v>0</v>
      </c>
      <c r="D30" s="47">
        <f>'C3C'!D240</f>
        <v>87775770.481000006</v>
      </c>
      <c r="E30" s="45">
        <f>'C3C'!E240</f>
        <v>0</v>
      </c>
      <c r="F30" s="45">
        <f>'C3C'!F240</f>
        <v>5815924.9700000007</v>
      </c>
      <c r="G30" s="45">
        <f>'C3C'!G240</f>
        <v>46960894.530000009</v>
      </c>
      <c r="H30" s="45">
        <f>'C3C'!H240</f>
        <v>87775770.481000006</v>
      </c>
      <c r="I30" s="45">
        <f t="shared" si="3"/>
        <v>-40814875.950999998</v>
      </c>
      <c r="J30" s="734">
        <f t="shared" ref="J30:J38" si="5">IF(I30=0,"",I30/H30)</f>
        <v>-0.4649902328095748</v>
      </c>
      <c r="K30" s="145">
        <f>'C3C'!K240</f>
        <v>87775770.481000006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>
      <c r="A31" s="40" t="str">
        <f>'Org structure'!A9</f>
        <v>Vote 8 - Parks, Sports &amp; Recreation</v>
      </c>
      <c r="B31" s="170"/>
      <c r="C31" s="135">
        <f>'C3C'!C251</f>
        <v>0</v>
      </c>
      <c r="D31" s="47">
        <f>'C3C'!D251</f>
        <v>27050201.431999996</v>
      </c>
      <c r="E31" s="45">
        <f>'C3C'!E251</f>
        <v>0</v>
      </c>
      <c r="F31" s="45">
        <f>'C3C'!F251</f>
        <v>2152869.16</v>
      </c>
      <c r="G31" s="45">
        <f>'C3C'!G251</f>
        <v>15308331.459999999</v>
      </c>
      <c r="H31" s="45">
        <f>'C3C'!H251</f>
        <v>27050201.431999996</v>
      </c>
      <c r="I31" s="45">
        <f t="shared" si="3"/>
        <v>-11741869.971999997</v>
      </c>
      <c r="J31" s="734">
        <f t="shared" si="5"/>
        <v>-0.43407698835504921</v>
      </c>
      <c r="K31" s="145">
        <f>'C3C'!K251</f>
        <v>27050201.431999996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>
      <c r="A32" s="40" t="str">
        <f>'Org structure'!A10</f>
        <v>Vote 9 - LED &amp; Tourism</v>
      </c>
      <c r="B32" s="170"/>
      <c r="C32" s="135">
        <f>'C3C'!C262</f>
        <v>0</v>
      </c>
      <c r="D32" s="47">
        <f>'C3C'!D262</f>
        <v>9323242.1699999999</v>
      </c>
      <c r="E32" s="45">
        <f>'C3C'!E262</f>
        <v>0</v>
      </c>
      <c r="F32" s="45">
        <f>'C3C'!F262</f>
        <v>351609.44999999995</v>
      </c>
      <c r="G32" s="45">
        <f>'C3C'!G262</f>
        <v>1438167.24</v>
      </c>
      <c r="H32" s="45">
        <f>'C3C'!H262</f>
        <v>9323242.1699999999</v>
      </c>
      <c r="I32" s="45">
        <f t="shared" si="3"/>
        <v>-7885074.9299999997</v>
      </c>
      <c r="J32" s="734">
        <f t="shared" si="5"/>
        <v>-0.84574387173727139</v>
      </c>
      <c r="K32" s="145">
        <f>'C3C'!K262</f>
        <v>9323242.1699999999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>
      <c r="A33" s="40" t="str">
        <f>'Org structure'!A11</f>
        <v>Vote 10 - Housing Spatial Development &amp; Planning</v>
      </c>
      <c r="B33" s="170"/>
      <c r="C33" s="135">
        <f>'C3C'!C273</f>
        <v>0</v>
      </c>
      <c r="D33" s="47">
        <f>'C3C'!D273</f>
        <v>24619415.531000003</v>
      </c>
      <c r="E33" s="45">
        <f>'C3C'!E273</f>
        <v>0</v>
      </c>
      <c r="F33" s="45">
        <f>'C3C'!F273</f>
        <v>1033286.05</v>
      </c>
      <c r="G33" s="45">
        <f>'C3C'!G273</f>
        <v>9084240.7400000002</v>
      </c>
      <c r="H33" s="45">
        <f>'C3C'!H273</f>
        <v>24619415.531000003</v>
      </c>
      <c r="I33" s="45">
        <f t="shared" si="3"/>
        <v>-15535174.791000003</v>
      </c>
      <c r="J33" s="734">
        <f>IF(I33=0,"",I33/H33)</f>
        <v>-0.63101314372953299</v>
      </c>
      <c r="K33" s="145">
        <f>'C3C'!K273</f>
        <v>24619415.531000003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>
      <c r="A34" s="40" t="str">
        <f>'Org structure'!A12</f>
        <v>Vote 11 - Water &amp; Sanitation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34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>
      <c r="A35" s="40" t="str">
        <f>'Org structure'!A13</f>
        <v>Vote 12 - Water</v>
      </c>
      <c r="B35" s="170"/>
      <c r="C35" s="135">
        <f>'C3C'!C295</f>
        <v>0</v>
      </c>
      <c r="D35" s="47">
        <f>'C3C'!D295</f>
        <v>120341000</v>
      </c>
      <c r="E35" s="45">
        <f>'C3C'!E295</f>
        <v>0</v>
      </c>
      <c r="F35" s="45">
        <f>'C3C'!F295</f>
        <v>10254775</v>
      </c>
      <c r="G35" s="45">
        <f>'C3C'!G295</f>
        <v>69581095</v>
      </c>
      <c r="H35" s="45">
        <f>'C3C'!H295</f>
        <v>120341000</v>
      </c>
      <c r="I35" s="45">
        <f t="shared" si="3"/>
        <v>-50759905</v>
      </c>
      <c r="J35" s="734">
        <f>IF(I35=0,"",I35/H35)</f>
        <v>-0.42180059165205541</v>
      </c>
      <c r="K35" s="145">
        <f>'C3C'!K295</f>
        <v>120341000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>
      <c r="A36" s="40" t="str">
        <f>'Org structure'!A14</f>
        <v xml:space="preserve">Vote 13 - 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34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>
      <c r="A37" s="40" t="str">
        <f>'Org structure'!A15</f>
        <v xml:space="preserve">Vote 14 - 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34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>
      <c r="A38" s="40" t="str">
        <f>'Org structure'!A16</f>
        <v xml:space="preserve">Vote 15 - 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34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>
      <c r="A39" s="93" t="s">
        <v>787</v>
      </c>
      <c r="B39" s="234">
        <v>2</v>
      </c>
      <c r="C39" s="523">
        <f>SUM(C24:C38)</f>
        <v>0</v>
      </c>
      <c r="D39" s="482">
        <f t="shared" ref="D39:I39" si="6">SUM(D24:D38)</f>
        <v>1153147766.8535199</v>
      </c>
      <c r="E39" s="437">
        <f t="shared" si="6"/>
        <v>0</v>
      </c>
      <c r="F39" s="437">
        <f t="shared" si="6"/>
        <v>63789482.879999995</v>
      </c>
      <c r="G39" s="437">
        <f t="shared" si="6"/>
        <v>599218639.93000007</v>
      </c>
      <c r="H39" s="437">
        <f t="shared" si="6"/>
        <v>1153147766.8535199</v>
      </c>
      <c r="I39" s="437">
        <f t="shared" si="6"/>
        <v>-553929126.92352009</v>
      </c>
      <c r="J39" s="737">
        <f>IF(I39=0,"",I39/H39)</f>
        <v>-0.48036265849516546</v>
      </c>
      <c r="K39" s="520">
        <f>SUM(K24:K38)</f>
        <v>1153147766.8535199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617711.18648004532</v>
      </c>
      <c r="E40" s="56">
        <f t="shared" si="7"/>
        <v>0</v>
      </c>
      <c r="F40" s="56">
        <f t="shared" si="7"/>
        <v>-20324708.879999995</v>
      </c>
      <c r="G40" s="56">
        <f t="shared" si="7"/>
        <v>10354212.169999957</v>
      </c>
      <c r="H40" s="56">
        <f t="shared" si="7"/>
        <v>617711.18648004532</v>
      </c>
      <c r="I40" s="56">
        <f>I21-I39</f>
        <v>9736500.9835201502</v>
      </c>
      <c r="J40" s="738">
        <f>IF(I40=0,"",I40/H40)</f>
        <v>15.762222211001971</v>
      </c>
      <c r="K40" s="236">
        <f>K21-K39</f>
        <v>617711.18648004532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>
      <c r="A42" s="61" t="s">
        <v>879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>
      <c r="A43" s="64" t="s">
        <v>176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>
      <c r="A46" s="66"/>
      <c r="B46" s="709"/>
      <c r="C46" s="704"/>
      <c r="D46" s="704"/>
      <c r="E46" s="704"/>
      <c r="F46" s="704"/>
      <c r="G46" s="704"/>
      <c r="H46" s="704"/>
      <c r="I46" s="704"/>
      <c r="J46" s="704"/>
      <c r="K46" s="704"/>
    </row>
    <row r="47" spans="1:24" ht="11.25" customHeight="1">
      <c r="A47" s="66"/>
      <c r="B47" s="709"/>
      <c r="C47" s="704"/>
      <c r="D47" s="704"/>
      <c r="E47" s="704"/>
      <c r="F47" s="704"/>
      <c r="G47" s="704"/>
      <c r="H47" s="704"/>
      <c r="I47" s="704"/>
      <c r="J47" s="704"/>
      <c r="K47" s="704"/>
    </row>
    <row r="48" spans="1:24" ht="11.25" customHeight="1">
      <c r="A48" s="68"/>
    </row>
    <row r="49" spans="1:1" ht="11.25" customHeight="1">
      <c r="A49" s="68"/>
    </row>
    <row r="50" spans="1:1" ht="11.25" customHeight="1">
      <c r="A50" s="68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1:K1"/>
    <mergeCell ref="B2:B4"/>
    <mergeCell ref="D2:K2"/>
  </mergeCells>
  <phoneticPr fontId="3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view="pageBreakPreview" zoomScaleNormal="100" zoomScaleSheetLayoutView="100" workbookViewId="0">
      <pane xSplit="2" ySplit="4" topLeftCell="C269" activePane="bottomRight" state="frozen"/>
      <selection pane="topRight" activeCell="C1" sqref="C1"/>
      <selection pane="bottomLeft" activeCell="A5" sqref="A5"/>
      <selection pane="bottomRight" activeCell="F296" sqref="F296"/>
    </sheetView>
  </sheetViews>
  <sheetFormatPr defaultRowHeight="12.75"/>
  <cols>
    <col min="1" max="1" width="30.7109375" style="25" customWidth="1"/>
    <col min="2" max="2" width="3" style="501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41" customFormat="1">
      <c r="A1" s="440" t="str">
        <f>muni&amp; " - "&amp;S71C&amp; " - "&amp;"A"&amp; " - "&amp;date</f>
        <v>FS194 Maluti-a-Phofung - Table C3 Consolidated Monthly Budget Statement - Financial Performance (revenue and expenditure by municipal vote)  - A - M07 January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23" ht="28.5" customHeight="1">
      <c r="A2" s="442" t="str">
        <f>Vdesc</f>
        <v>Vote Description</v>
      </c>
      <c r="B2" s="443" t="str">
        <f>head27</f>
        <v>Ref</v>
      </c>
      <c r="C2" s="143" t="str">
        <f>Head1</f>
        <v>2012/13</v>
      </c>
      <c r="D2" s="978" t="str">
        <f>Head2</f>
        <v>Budget Year 2013/14</v>
      </c>
      <c r="E2" s="979"/>
      <c r="F2" s="979"/>
      <c r="G2" s="979"/>
      <c r="H2" s="979"/>
      <c r="I2" s="979"/>
      <c r="J2" s="979"/>
      <c r="K2" s="980"/>
      <c r="L2" s="989" t="e">
        <f>Head4</f>
        <v>#REF!</v>
      </c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1"/>
    </row>
    <row r="3" spans="1:23" ht="25.5">
      <c r="A3" s="503" t="s">
        <v>135</v>
      </c>
      <c r="B3" s="50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5" t="str">
        <f>Head12</f>
        <v>Forecast 2010/11</v>
      </c>
      <c r="M3" s="706" t="str">
        <f>Head13</f>
        <v>Forecast 2011/12</v>
      </c>
      <c r="N3" s="706" t="str">
        <f>Head14</f>
        <v>Forecast 2012/13</v>
      </c>
      <c r="O3" s="706" t="str">
        <f>Head15</f>
        <v>Forecast 2013/14</v>
      </c>
      <c r="P3" s="706" t="str">
        <f>Head16</f>
        <v>Forecast 2014/15</v>
      </c>
      <c r="Q3" s="706" t="str">
        <f>Head17</f>
        <v>Forecast 2015/16</v>
      </c>
      <c r="R3" s="706" t="str">
        <f>Head18</f>
        <v>Forecast 2016/17</v>
      </c>
      <c r="S3" s="706" t="str">
        <f>Head19</f>
        <v>Forecast 2017/18</v>
      </c>
      <c r="T3" s="706" t="str">
        <f>Head20</f>
        <v>Forecast 2018/19</v>
      </c>
      <c r="U3" s="706" t="str">
        <f>Head21</f>
        <v>Forecast 2019/20</v>
      </c>
      <c r="V3" s="706" t="str">
        <f>Head22</f>
        <v>Forecast 2020/21</v>
      </c>
      <c r="W3" s="706" t="str">
        <f>Head23</f>
        <v>Forecast 2021/22</v>
      </c>
    </row>
    <row r="4" spans="1:23" ht="11.25" customHeight="1">
      <c r="A4" s="444"/>
      <c r="B4" s="445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43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446" t="s">
        <v>920</v>
      </c>
      <c r="B5" s="422">
        <v>1</v>
      </c>
      <c r="C5" s="505"/>
      <c r="D5" s="517"/>
      <c r="E5" s="518"/>
      <c r="F5" s="506"/>
      <c r="G5" s="507"/>
      <c r="H5" s="506"/>
      <c r="I5" s="507"/>
      <c r="J5" s="508"/>
      <c r="K5" s="509"/>
      <c r="L5" s="43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473" t="str">
        <f>'Org structure'!A2</f>
        <v>Vote 1 - Legislative Authority</v>
      </c>
      <c r="B6" s="447"/>
      <c r="C6" s="510">
        <f>SUM(C7:C16)</f>
        <v>0</v>
      </c>
      <c r="D6" s="451">
        <f t="shared" ref="D6:K6" si="0">SUM(D7:D16)</f>
        <v>0</v>
      </c>
      <c r="E6" s="448">
        <f t="shared" si="0"/>
        <v>0</v>
      </c>
      <c r="F6" s="450">
        <f t="shared" si="0"/>
        <v>0</v>
      </c>
      <c r="G6" s="448">
        <f t="shared" si="0"/>
        <v>0</v>
      </c>
      <c r="H6" s="450">
        <f t="shared" si="0"/>
        <v>0</v>
      </c>
      <c r="I6" s="45">
        <f t="shared" ref="I6:I69" si="1">G6-H6</f>
        <v>0</v>
      </c>
      <c r="J6" s="334" t="str">
        <f t="shared" ref="J6:J69" si="2">IF(I6=0,"",I6/H6)</f>
        <v/>
      </c>
      <c r="K6" s="449">
        <f t="shared" si="0"/>
        <v>0</v>
      </c>
      <c r="L6" s="43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14" t="str">
        <f>'Org structure'!E3</f>
        <v>1.1 - Office of the Major</v>
      </c>
      <c r="B7" s="452"/>
      <c r="C7" s="758"/>
      <c r="D7" s="759"/>
      <c r="E7" s="760"/>
      <c r="F7" s="761"/>
      <c r="G7" s="760"/>
      <c r="H7" s="761"/>
      <c r="I7" s="45">
        <f t="shared" si="1"/>
        <v>0</v>
      </c>
      <c r="J7" s="334" t="str">
        <f t="shared" si="2"/>
        <v/>
      </c>
      <c r="K7" s="762"/>
      <c r="L7" s="43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4" t="str">
        <f>'Org structure'!E4</f>
        <v>1.2 - Office of the Speaker</v>
      </c>
      <c r="B8" s="452"/>
      <c r="C8" s="758"/>
      <c r="D8" s="759"/>
      <c r="E8" s="760"/>
      <c r="F8" s="761"/>
      <c r="G8" s="760"/>
      <c r="H8" s="761"/>
      <c r="I8" s="45">
        <f t="shared" si="1"/>
        <v>0</v>
      </c>
      <c r="J8" s="334" t="str">
        <f t="shared" si="2"/>
        <v/>
      </c>
      <c r="K8" s="762"/>
      <c r="L8" s="43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4" t="str">
        <f>'Org structure'!E5</f>
        <v>1.3 - Council General</v>
      </c>
      <c r="B9" s="452"/>
      <c r="C9" s="758"/>
      <c r="D9" s="759"/>
      <c r="E9" s="760"/>
      <c r="F9" s="761"/>
      <c r="G9" s="760"/>
      <c r="H9" s="761"/>
      <c r="I9" s="45">
        <f t="shared" si="1"/>
        <v>0</v>
      </c>
      <c r="J9" s="334" t="str">
        <f t="shared" si="2"/>
        <v/>
      </c>
      <c r="K9" s="762"/>
      <c r="L9" s="43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4" t="str">
        <f>'Org structure'!E6</f>
        <v>1.4 - Whippery Office</v>
      </c>
      <c r="B10" s="452"/>
      <c r="C10" s="758"/>
      <c r="D10" s="759"/>
      <c r="E10" s="760"/>
      <c r="F10" s="761"/>
      <c r="G10" s="760"/>
      <c r="H10" s="761"/>
      <c r="I10" s="45">
        <f t="shared" si="1"/>
        <v>0</v>
      </c>
      <c r="J10" s="334" t="str">
        <f t="shared" si="2"/>
        <v/>
      </c>
      <c r="K10" s="762"/>
      <c r="L10" s="43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4" t="str">
        <f>'Org structure'!E7</f>
        <v>1.5 - Gender Equality &amp; Disability</v>
      </c>
      <c r="B11" s="452"/>
      <c r="C11" s="758"/>
      <c r="D11" s="759"/>
      <c r="E11" s="760"/>
      <c r="F11" s="761"/>
      <c r="G11" s="760"/>
      <c r="H11" s="761"/>
      <c r="I11" s="45">
        <f t="shared" si="1"/>
        <v>0</v>
      </c>
      <c r="J11" s="334" t="str">
        <f t="shared" si="2"/>
        <v/>
      </c>
      <c r="K11" s="762"/>
      <c r="L11" s="43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4" t="str">
        <f>'Org structure'!E8</f>
        <v>1.6 - Speaker</v>
      </c>
      <c r="B12" s="452"/>
      <c r="C12" s="758"/>
      <c r="D12" s="759"/>
      <c r="E12" s="760"/>
      <c r="F12" s="761"/>
      <c r="G12" s="760"/>
      <c r="H12" s="761"/>
      <c r="I12" s="45">
        <f t="shared" si="1"/>
        <v>0</v>
      </c>
      <c r="J12" s="334" t="str">
        <f t="shared" si="2"/>
        <v/>
      </c>
      <c r="K12" s="762"/>
      <c r="L12" s="43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4" t="str">
        <f>'Org structure'!E9</f>
        <v>1.7 - Mayoral committee</v>
      </c>
      <c r="B13" s="452"/>
      <c r="C13" s="758"/>
      <c r="D13" s="759"/>
      <c r="E13" s="760"/>
      <c r="F13" s="761"/>
      <c r="G13" s="760"/>
      <c r="H13" s="761"/>
      <c r="I13" s="45">
        <f t="shared" si="1"/>
        <v>0</v>
      </c>
      <c r="J13" s="334" t="str">
        <f t="shared" si="2"/>
        <v/>
      </c>
      <c r="K13" s="762"/>
      <c r="L13" s="43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4" t="str">
        <f>'Org structure'!E10</f>
        <v>1.8 - Executive Major</v>
      </c>
      <c r="B14" s="452"/>
      <c r="C14" s="758"/>
      <c r="D14" s="759"/>
      <c r="E14" s="760"/>
      <c r="F14" s="761"/>
      <c r="G14" s="760"/>
      <c r="H14" s="761"/>
      <c r="I14" s="45">
        <f t="shared" si="1"/>
        <v>0</v>
      </c>
      <c r="J14" s="334" t="str">
        <f t="shared" si="2"/>
        <v/>
      </c>
      <c r="K14" s="762"/>
      <c r="L14" s="43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4">
        <f>'Org structure'!E11</f>
        <v>0</v>
      </c>
      <c r="B15" s="452"/>
      <c r="C15" s="758"/>
      <c r="D15" s="759"/>
      <c r="E15" s="760"/>
      <c r="F15" s="761"/>
      <c r="G15" s="760"/>
      <c r="H15" s="761"/>
      <c r="I15" s="45">
        <f t="shared" si="1"/>
        <v>0</v>
      </c>
      <c r="J15" s="334" t="str">
        <f t="shared" si="2"/>
        <v/>
      </c>
      <c r="K15" s="762"/>
      <c r="L15" s="43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4">
        <f>'Org structure'!E12</f>
        <v>0</v>
      </c>
      <c r="B16" s="452"/>
      <c r="C16" s="758"/>
      <c r="D16" s="759"/>
      <c r="E16" s="760"/>
      <c r="F16" s="761"/>
      <c r="G16" s="760"/>
      <c r="H16" s="761"/>
      <c r="I16" s="45">
        <f t="shared" si="1"/>
        <v>0</v>
      </c>
      <c r="J16" s="334" t="str">
        <f t="shared" si="2"/>
        <v/>
      </c>
      <c r="K16" s="762"/>
      <c r="L16" s="431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73" t="str">
        <f>'Org structure'!A3</f>
        <v>Vote 2 - Office of the Municipal Manager</v>
      </c>
      <c r="B17" s="447"/>
      <c r="C17" s="510">
        <f>SUM(C18:C27)</f>
        <v>0</v>
      </c>
      <c r="D17" s="451">
        <f t="shared" ref="D17:K17" si="3">SUM(D18:D27)</f>
        <v>0</v>
      </c>
      <c r="E17" s="448">
        <f t="shared" si="3"/>
        <v>0</v>
      </c>
      <c r="F17" s="450">
        <f t="shared" si="3"/>
        <v>0</v>
      </c>
      <c r="G17" s="448">
        <f t="shared" si="3"/>
        <v>0</v>
      </c>
      <c r="H17" s="450">
        <f t="shared" si="3"/>
        <v>0</v>
      </c>
      <c r="I17" s="45">
        <f t="shared" si="1"/>
        <v>0</v>
      </c>
      <c r="J17" s="334" t="str">
        <f t="shared" si="2"/>
        <v/>
      </c>
      <c r="K17" s="449">
        <f t="shared" si="3"/>
        <v>0</v>
      </c>
      <c r="L17" s="431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14" t="str">
        <f>'Org structure'!E14</f>
        <v>2.1 - Municipal Manager Administration</v>
      </c>
      <c r="B18" s="452"/>
      <c r="C18" s="758"/>
      <c r="D18" s="759"/>
      <c r="E18" s="760"/>
      <c r="F18" s="761"/>
      <c r="G18" s="760"/>
      <c r="H18" s="761"/>
      <c r="I18" s="45">
        <f t="shared" si="1"/>
        <v>0</v>
      </c>
      <c r="J18" s="334" t="str">
        <f t="shared" si="2"/>
        <v/>
      </c>
      <c r="K18" s="762"/>
      <c r="L18" s="43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4" t="str">
        <f>'Org structure'!E15</f>
        <v>2.2 - Information Technology</v>
      </c>
      <c r="B19" s="452"/>
      <c r="C19" s="758"/>
      <c r="D19" s="759"/>
      <c r="E19" s="760"/>
      <c r="F19" s="761"/>
      <c r="G19" s="760"/>
      <c r="H19" s="761"/>
      <c r="I19" s="45">
        <f t="shared" si="1"/>
        <v>0</v>
      </c>
      <c r="J19" s="334" t="str">
        <f t="shared" si="2"/>
        <v/>
      </c>
      <c r="K19" s="762"/>
      <c r="L19" s="431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4" t="str">
        <f>'Org structure'!E16</f>
        <v>2.3 - Internal Audit</v>
      </c>
      <c r="B20" s="452"/>
      <c r="C20" s="758"/>
      <c r="D20" s="759"/>
      <c r="E20" s="760"/>
      <c r="F20" s="761"/>
      <c r="G20" s="760"/>
      <c r="H20" s="761"/>
      <c r="I20" s="45">
        <f t="shared" si="1"/>
        <v>0</v>
      </c>
      <c r="J20" s="334" t="str">
        <f t="shared" si="2"/>
        <v/>
      </c>
      <c r="K20" s="762"/>
      <c r="L20" s="431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4" t="str">
        <f>'Org structure'!E17</f>
        <v>2.4 - Communications</v>
      </c>
      <c r="B21" s="452"/>
      <c r="C21" s="758"/>
      <c r="D21" s="759"/>
      <c r="E21" s="760"/>
      <c r="F21" s="761"/>
      <c r="G21" s="760"/>
      <c r="H21" s="761"/>
      <c r="I21" s="45">
        <f t="shared" si="1"/>
        <v>0</v>
      </c>
      <c r="J21" s="334" t="str">
        <f t="shared" si="2"/>
        <v/>
      </c>
      <c r="K21" s="762"/>
      <c r="L21" s="43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4" t="str">
        <f>'Org structure'!E18</f>
        <v>2.5 - Risk Management</v>
      </c>
      <c r="B22" s="452"/>
      <c r="C22" s="758"/>
      <c r="D22" s="759"/>
      <c r="E22" s="760"/>
      <c r="F22" s="761"/>
      <c r="G22" s="760"/>
      <c r="H22" s="761"/>
      <c r="I22" s="45">
        <f t="shared" si="1"/>
        <v>0</v>
      </c>
      <c r="J22" s="334" t="str">
        <f t="shared" si="2"/>
        <v/>
      </c>
      <c r="K22" s="762"/>
      <c r="L22" s="4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4" t="str">
        <f>'Org structure'!E19</f>
        <v>2.6 - Security</v>
      </c>
      <c r="B23" s="452"/>
      <c r="C23" s="758"/>
      <c r="D23" s="759"/>
      <c r="E23" s="760"/>
      <c r="F23" s="761"/>
      <c r="G23" s="760"/>
      <c r="H23" s="761"/>
      <c r="I23" s="45">
        <f t="shared" si="1"/>
        <v>0</v>
      </c>
      <c r="J23" s="334" t="str">
        <f t="shared" si="2"/>
        <v/>
      </c>
      <c r="K23" s="762"/>
      <c r="L23" s="4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4" t="str">
        <f>'Org structure'!E20</f>
        <v>2.7 - Municipal Manager</v>
      </c>
      <c r="B24" s="452"/>
      <c r="C24" s="758"/>
      <c r="D24" s="759"/>
      <c r="E24" s="760"/>
      <c r="F24" s="761"/>
      <c r="G24" s="760"/>
      <c r="H24" s="761"/>
      <c r="I24" s="45">
        <f t="shared" si="1"/>
        <v>0</v>
      </c>
      <c r="J24" s="334" t="str">
        <f t="shared" si="2"/>
        <v/>
      </c>
      <c r="K24" s="762"/>
      <c r="L24" s="431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4">
        <f>'Org structure'!E21</f>
        <v>0</v>
      </c>
      <c r="B25" s="452"/>
      <c r="C25" s="758"/>
      <c r="D25" s="759"/>
      <c r="E25" s="760"/>
      <c r="F25" s="761"/>
      <c r="G25" s="760"/>
      <c r="H25" s="761"/>
      <c r="I25" s="45">
        <f t="shared" si="1"/>
        <v>0</v>
      </c>
      <c r="J25" s="334" t="str">
        <f t="shared" si="2"/>
        <v/>
      </c>
      <c r="K25" s="762"/>
      <c r="L25" s="4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4">
        <f>'Org structure'!E22</f>
        <v>0</v>
      </c>
      <c r="B26" s="452"/>
      <c r="C26" s="758"/>
      <c r="D26" s="759"/>
      <c r="E26" s="760"/>
      <c r="F26" s="761"/>
      <c r="G26" s="760"/>
      <c r="H26" s="761"/>
      <c r="I26" s="45">
        <f t="shared" si="1"/>
        <v>0</v>
      </c>
      <c r="J26" s="334" t="str">
        <f t="shared" si="2"/>
        <v/>
      </c>
      <c r="K26" s="762"/>
      <c r="L26" s="431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4">
        <f>'Org structure'!E23</f>
        <v>0</v>
      </c>
      <c r="B27" s="452"/>
      <c r="C27" s="758"/>
      <c r="D27" s="759"/>
      <c r="E27" s="760"/>
      <c r="F27" s="761"/>
      <c r="G27" s="760"/>
      <c r="H27" s="761"/>
      <c r="I27" s="45">
        <f t="shared" si="1"/>
        <v>0</v>
      </c>
      <c r="J27" s="334" t="str">
        <f t="shared" si="2"/>
        <v/>
      </c>
      <c r="K27" s="762"/>
      <c r="L27" s="4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73" t="str">
        <f>'Org structure'!A4</f>
        <v>Vote 3 - Corporate Services</v>
      </c>
      <c r="B28" s="447"/>
      <c r="C28" s="510">
        <f t="shared" ref="C28:K28" si="4">SUM(C29:C38)</f>
        <v>0</v>
      </c>
      <c r="D28" s="451">
        <f t="shared" si="4"/>
        <v>55125</v>
      </c>
      <c r="E28" s="448">
        <f t="shared" si="4"/>
        <v>0</v>
      </c>
      <c r="F28" s="450">
        <f t="shared" si="4"/>
        <v>1065.78</v>
      </c>
      <c r="G28" s="448">
        <f t="shared" si="4"/>
        <v>690986.04</v>
      </c>
      <c r="H28" s="450">
        <f t="shared" si="4"/>
        <v>55125</v>
      </c>
      <c r="I28" s="45">
        <f t="shared" si="1"/>
        <v>635861.04</v>
      </c>
      <c r="J28" s="334">
        <f t="shared" si="2"/>
        <v>11.534894149659864</v>
      </c>
      <c r="K28" s="449">
        <f t="shared" si="4"/>
        <v>55125</v>
      </c>
      <c r="L28" s="43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14" t="str">
        <f>'Org structure'!E25</f>
        <v>3.1 - Corporate Administration</v>
      </c>
      <c r="B29" s="452"/>
      <c r="C29" s="758"/>
      <c r="D29" s="759"/>
      <c r="E29" s="760"/>
      <c r="F29" s="761"/>
      <c r="G29" s="760">
        <f>33019.99+60039.98+64838.18+32421.59</f>
        <v>190319.74</v>
      </c>
      <c r="H29" s="759"/>
      <c r="I29" s="259">
        <f t="shared" si="1"/>
        <v>190319.74</v>
      </c>
      <c r="J29" s="334" t="e">
        <f t="shared" si="2"/>
        <v>#DIV/0!</v>
      </c>
      <c r="K29" s="759"/>
      <c r="L29" s="43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4" t="str">
        <f>'Org structure'!E26</f>
        <v>3.2 - Human Resources</v>
      </c>
      <c r="B30" s="452"/>
      <c r="C30" s="758"/>
      <c r="D30" s="759"/>
      <c r="E30" s="760"/>
      <c r="F30" s="761"/>
      <c r="G30" s="760">
        <f>134242.81+337907.77</f>
        <v>472150.58</v>
      </c>
      <c r="H30" s="759"/>
      <c r="I30" s="45">
        <f t="shared" si="1"/>
        <v>472150.58</v>
      </c>
      <c r="J30" s="334" t="e">
        <f t="shared" si="2"/>
        <v>#DIV/0!</v>
      </c>
      <c r="K30" s="759"/>
      <c r="L30" s="431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4" t="str">
        <f>'Org structure'!E27</f>
        <v>3.3 - Offices &amp; Townhalls</v>
      </c>
      <c r="B31" s="452"/>
      <c r="C31" s="758"/>
      <c r="D31" s="759">
        <v>55125</v>
      </c>
      <c r="E31" s="760"/>
      <c r="F31" s="761">
        <v>1065.78</v>
      </c>
      <c r="G31" s="760">
        <f>4112.48+3788.61+5822.82+2803.71+8158.27+2764.05+1065.78</f>
        <v>28515.719999999998</v>
      </c>
      <c r="H31" s="759">
        <v>55125</v>
      </c>
      <c r="I31" s="45">
        <f t="shared" si="1"/>
        <v>-26609.280000000002</v>
      </c>
      <c r="J31" s="334">
        <f t="shared" si="2"/>
        <v>-0.48270802721088441</v>
      </c>
      <c r="K31" s="759">
        <v>55125</v>
      </c>
      <c r="L31" s="43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4" t="str">
        <f>'Org structure'!E28</f>
        <v>3.4 - Director Corporate</v>
      </c>
      <c r="B32" s="452"/>
      <c r="C32" s="758"/>
      <c r="D32" s="759"/>
      <c r="E32" s="760"/>
      <c r="F32" s="761"/>
      <c r="G32" s="760"/>
      <c r="H32" s="759"/>
      <c r="I32" s="45">
        <f t="shared" si="1"/>
        <v>0</v>
      </c>
      <c r="J32" s="334" t="str">
        <f t="shared" si="2"/>
        <v/>
      </c>
      <c r="K32" s="759"/>
      <c r="L32" s="431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4">
        <f>'Org structure'!E29</f>
        <v>0</v>
      </c>
      <c r="B33" s="452"/>
      <c r="C33" s="758"/>
      <c r="D33" s="759"/>
      <c r="E33" s="760"/>
      <c r="F33" s="761"/>
      <c r="G33" s="760"/>
      <c r="H33" s="759"/>
      <c r="I33" s="45">
        <f t="shared" si="1"/>
        <v>0</v>
      </c>
      <c r="J33" s="334" t="str">
        <f t="shared" si="2"/>
        <v/>
      </c>
      <c r="K33" s="759"/>
      <c r="L33" s="43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4">
        <f>'Org structure'!E30</f>
        <v>0</v>
      </c>
      <c r="B34" s="452"/>
      <c r="C34" s="758"/>
      <c r="D34" s="759"/>
      <c r="E34" s="760"/>
      <c r="F34" s="761"/>
      <c r="G34" s="760"/>
      <c r="H34" s="759"/>
      <c r="I34" s="45">
        <f t="shared" si="1"/>
        <v>0</v>
      </c>
      <c r="J34" s="334" t="str">
        <f t="shared" si="2"/>
        <v/>
      </c>
      <c r="K34" s="759"/>
      <c r="L34" s="431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4">
        <f>'Org structure'!E31</f>
        <v>0</v>
      </c>
      <c r="B35" s="452"/>
      <c r="C35" s="758"/>
      <c r="D35" s="759"/>
      <c r="E35" s="760"/>
      <c r="F35" s="761"/>
      <c r="G35" s="760"/>
      <c r="H35" s="759"/>
      <c r="I35" s="45">
        <f t="shared" si="1"/>
        <v>0</v>
      </c>
      <c r="J35" s="334" t="str">
        <f t="shared" si="2"/>
        <v/>
      </c>
      <c r="K35" s="759"/>
      <c r="L35" s="431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4">
        <f>'Org structure'!E32</f>
        <v>0</v>
      </c>
      <c r="B36" s="452"/>
      <c r="C36" s="758"/>
      <c r="D36" s="759"/>
      <c r="E36" s="760"/>
      <c r="F36" s="761"/>
      <c r="G36" s="760"/>
      <c r="H36" s="759"/>
      <c r="I36" s="45">
        <f t="shared" si="1"/>
        <v>0</v>
      </c>
      <c r="J36" s="334" t="str">
        <f t="shared" si="2"/>
        <v/>
      </c>
      <c r="K36" s="759"/>
      <c r="L36" s="431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4">
        <f>'Org structure'!E33</f>
        <v>0</v>
      </c>
      <c r="B37" s="452"/>
      <c r="C37" s="758"/>
      <c r="D37" s="759"/>
      <c r="E37" s="760"/>
      <c r="F37" s="761"/>
      <c r="G37" s="760"/>
      <c r="H37" s="759"/>
      <c r="I37" s="45">
        <f t="shared" si="1"/>
        <v>0</v>
      </c>
      <c r="J37" s="334" t="str">
        <f t="shared" si="2"/>
        <v/>
      </c>
      <c r="K37" s="759"/>
      <c r="L37" s="431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4">
        <f>'Org structure'!E34</f>
        <v>0</v>
      </c>
      <c r="B38" s="452"/>
      <c r="C38" s="758"/>
      <c r="D38" s="759"/>
      <c r="E38" s="760"/>
      <c r="F38" s="761"/>
      <c r="G38" s="760"/>
      <c r="H38" s="759"/>
      <c r="I38" s="45">
        <f t="shared" si="1"/>
        <v>0</v>
      </c>
      <c r="J38" s="334" t="str">
        <f t="shared" si="2"/>
        <v/>
      </c>
      <c r="K38" s="759"/>
      <c r="L38" s="431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73" t="str">
        <f>'Org structure'!A5</f>
        <v>Vote 4 - Financial Services</v>
      </c>
      <c r="B39" s="447"/>
      <c r="C39" s="510">
        <f t="shared" ref="C39:K39" si="5">SUM(C40:C49)</f>
        <v>0</v>
      </c>
      <c r="D39" s="451">
        <f t="shared" si="5"/>
        <v>574458639.03999996</v>
      </c>
      <c r="E39" s="448">
        <f t="shared" si="5"/>
        <v>0</v>
      </c>
      <c r="F39" s="450">
        <f t="shared" si="5"/>
        <v>13790305.199999999</v>
      </c>
      <c r="G39" s="448">
        <f t="shared" si="5"/>
        <v>364092343.88</v>
      </c>
      <c r="H39" s="450">
        <f t="shared" si="5"/>
        <v>574458639.03999996</v>
      </c>
      <c r="I39" s="45">
        <f t="shared" si="1"/>
        <v>-210366295.15999997</v>
      </c>
      <c r="J39" s="334">
        <f t="shared" si="2"/>
        <v>-0.36619920193306033</v>
      </c>
      <c r="K39" s="449">
        <f t="shared" si="5"/>
        <v>574458639.03999996</v>
      </c>
      <c r="L39" s="431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14" t="str">
        <f>'Org structure'!E36</f>
        <v>4.1 - Budget &amp; Reporting</v>
      </c>
      <c r="B40" s="452"/>
      <c r="C40" s="758"/>
      <c r="D40" s="759"/>
      <c r="E40" s="760"/>
      <c r="F40" s="761"/>
      <c r="G40" s="760"/>
      <c r="H40" s="759"/>
      <c r="I40" s="45">
        <f t="shared" si="1"/>
        <v>0</v>
      </c>
      <c r="J40" s="334" t="str">
        <f t="shared" si="2"/>
        <v/>
      </c>
      <c r="K40" s="759"/>
      <c r="L40" s="43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4" t="str">
        <f>'Org structure'!E37</f>
        <v>4.2 - Management</v>
      </c>
      <c r="B41" s="452"/>
      <c r="C41" s="758"/>
      <c r="D41" s="759"/>
      <c r="E41" s="760"/>
      <c r="F41" s="761">
        <v>8601.2000000000007</v>
      </c>
      <c r="G41" s="760">
        <f>140878275.42+2553000+1500000+6161.87+800000+12555.96+6569.1+2553000+12058.95+112662000+5105.25+8601.2</f>
        <v>260997327.74999997</v>
      </c>
      <c r="H41" s="759"/>
      <c r="I41" s="45">
        <f t="shared" si="1"/>
        <v>260997327.74999997</v>
      </c>
      <c r="J41" s="334" t="e">
        <f t="shared" si="2"/>
        <v>#DIV/0!</v>
      </c>
      <c r="K41" s="759"/>
      <c r="L41" s="43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4" t="str">
        <f>'Org structure'!E38</f>
        <v>4.3 - Financial Accounting</v>
      </c>
      <c r="B42" s="452"/>
      <c r="C42" s="758"/>
      <c r="D42" s="759">
        <v>1000000</v>
      </c>
      <c r="E42" s="760"/>
      <c r="F42" s="761">
        <v>45483.64</v>
      </c>
      <c r="G42" s="760">
        <f>80781.65+266588.07+368208.19+190974.6+57030.62+49800.38+45483.64</f>
        <v>1058867.1499999999</v>
      </c>
      <c r="H42" s="759">
        <v>1000000</v>
      </c>
      <c r="I42" s="45">
        <f t="shared" si="1"/>
        <v>58867.149999999907</v>
      </c>
      <c r="J42" s="334">
        <f t="shared" si="2"/>
        <v>5.886714999999991E-2</v>
      </c>
      <c r="K42" s="759">
        <v>1000000</v>
      </c>
      <c r="L42" s="431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4" t="str">
        <f>'Org structure'!E39</f>
        <v>4.4 - Income</v>
      </c>
      <c r="B43" s="452"/>
      <c r="C43" s="758"/>
      <c r="D43" s="759">
        <v>573458639.03999996</v>
      </c>
      <c r="E43" s="760"/>
      <c r="F43" s="761">
        <v>13736220.359999999</v>
      </c>
      <c r="G43" s="760">
        <f>20119016.04+12890527.85+15171600.73+12720499.74+13660392.91+13737791.35+13736220.36</f>
        <v>102036048.98</v>
      </c>
      <c r="H43" s="759">
        <v>573458639.03999996</v>
      </c>
      <c r="I43" s="45">
        <f t="shared" si="1"/>
        <v>-471422590.05999994</v>
      </c>
      <c r="J43" s="334">
        <f t="shared" si="2"/>
        <v>-0.82206903509063223</v>
      </c>
      <c r="K43" s="759">
        <v>573458639.03999996</v>
      </c>
      <c r="L43" s="431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4" t="str">
        <f>'Org structure'!E40</f>
        <v>4.5 - Expenditure</v>
      </c>
      <c r="B44" s="452"/>
      <c r="C44" s="758"/>
      <c r="D44" s="759"/>
      <c r="E44" s="760"/>
      <c r="F44" s="761">
        <v>0</v>
      </c>
      <c r="G44" s="760">
        <f>100</f>
        <v>100</v>
      </c>
      <c r="H44" s="759"/>
      <c r="I44" s="45">
        <f t="shared" si="1"/>
        <v>100</v>
      </c>
      <c r="J44" s="334" t="e">
        <f t="shared" si="2"/>
        <v>#DIV/0!</v>
      </c>
      <c r="K44" s="759"/>
      <c r="L44" s="431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4" t="str">
        <f>'Org structure'!E41</f>
        <v>4.6 - Revenue Management</v>
      </c>
      <c r="B45" s="452"/>
      <c r="C45" s="758"/>
      <c r="D45" s="759"/>
      <c r="E45" s="760"/>
      <c r="F45" s="761"/>
      <c r="G45" s="760"/>
      <c r="H45" s="759"/>
      <c r="I45" s="45">
        <f t="shared" si="1"/>
        <v>0</v>
      </c>
      <c r="J45" s="334" t="str">
        <f t="shared" si="2"/>
        <v/>
      </c>
      <c r="K45" s="759"/>
      <c r="L45" s="431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4" t="str">
        <f>'Org structure'!E42</f>
        <v>4.7 - Finance Interns</v>
      </c>
      <c r="B46" s="452"/>
      <c r="C46" s="758"/>
      <c r="D46" s="759"/>
      <c r="E46" s="760"/>
      <c r="F46" s="761"/>
      <c r="G46" s="760"/>
      <c r="H46" s="759"/>
      <c r="I46" s="45">
        <f t="shared" si="1"/>
        <v>0</v>
      </c>
      <c r="J46" s="334" t="str">
        <f t="shared" si="2"/>
        <v/>
      </c>
      <c r="K46" s="759"/>
      <c r="L46" s="431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4" t="str">
        <f>'Org structure'!E43</f>
        <v>4.8 - Chief Financial Officer</v>
      </c>
      <c r="B47" s="452"/>
      <c r="C47" s="758"/>
      <c r="D47" s="759"/>
      <c r="E47" s="760"/>
      <c r="F47" s="761"/>
      <c r="G47" s="760"/>
      <c r="H47" s="759"/>
      <c r="I47" s="45">
        <f t="shared" si="1"/>
        <v>0</v>
      </c>
      <c r="J47" s="334" t="str">
        <f t="shared" si="2"/>
        <v/>
      </c>
      <c r="K47" s="759"/>
      <c r="L47" s="431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4">
        <f>'Org structure'!E44</f>
        <v>0</v>
      </c>
      <c r="B48" s="452"/>
      <c r="C48" s="758"/>
      <c r="D48" s="759"/>
      <c r="E48" s="760"/>
      <c r="F48" s="761"/>
      <c r="G48" s="760"/>
      <c r="H48" s="759"/>
      <c r="I48" s="45">
        <f t="shared" si="1"/>
        <v>0</v>
      </c>
      <c r="J48" s="334" t="str">
        <f t="shared" si="2"/>
        <v/>
      </c>
      <c r="K48" s="759"/>
      <c r="L48" s="43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4">
        <f>'Org structure'!E45</f>
        <v>0</v>
      </c>
      <c r="B49" s="452"/>
      <c r="C49" s="758"/>
      <c r="D49" s="759"/>
      <c r="E49" s="760"/>
      <c r="F49" s="761"/>
      <c r="G49" s="760"/>
      <c r="H49" s="759"/>
      <c r="I49" s="45">
        <f t="shared" si="1"/>
        <v>0</v>
      </c>
      <c r="J49" s="334" t="str">
        <f t="shared" si="2"/>
        <v/>
      </c>
      <c r="K49" s="759"/>
      <c r="L49" s="431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73" t="str">
        <f>'Org structure'!A6</f>
        <v>Vote 5 - Municipal Infrastructure</v>
      </c>
      <c r="B50" s="447"/>
      <c r="C50" s="510">
        <f>SUM(C51:C60)</f>
        <v>0</v>
      </c>
      <c r="D50" s="451">
        <f t="shared" ref="D50:K50" si="6">SUM(D51:D60)</f>
        <v>386559048</v>
      </c>
      <c r="E50" s="448">
        <f t="shared" si="6"/>
        <v>0</v>
      </c>
      <c r="F50" s="450">
        <f t="shared" si="6"/>
        <v>19317634.129999999</v>
      </c>
      <c r="G50" s="448">
        <f t="shared" si="6"/>
        <v>138798509.72999999</v>
      </c>
      <c r="H50" s="450">
        <f t="shared" si="6"/>
        <v>386559048</v>
      </c>
      <c r="I50" s="45">
        <f t="shared" si="1"/>
        <v>-247760538.27000001</v>
      </c>
      <c r="J50" s="334">
        <f t="shared" si="2"/>
        <v>-0.64093840139527669</v>
      </c>
      <c r="K50" s="449">
        <f t="shared" si="6"/>
        <v>386559048</v>
      </c>
      <c r="L50" s="43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14" t="str">
        <f>'Org structure'!E47</f>
        <v>5.1 - Vihicle/ Workshop Maintenance</v>
      </c>
      <c r="B51" s="452"/>
      <c r="C51" s="758"/>
      <c r="D51" s="759"/>
      <c r="E51" s="760"/>
      <c r="F51" s="761"/>
      <c r="G51" s="760"/>
      <c r="H51" s="759"/>
      <c r="I51" s="45">
        <f t="shared" si="1"/>
        <v>0</v>
      </c>
      <c r="J51" s="334" t="str">
        <f t="shared" si="2"/>
        <v/>
      </c>
      <c r="K51" s="759"/>
      <c r="L51" s="431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4" t="str">
        <f>'Org structure'!E48</f>
        <v>5.2 - Electricity</v>
      </c>
      <c r="B52" s="452"/>
      <c r="C52" s="758"/>
      <c r="D52" s="759">
        <v>367292860.5</v>
      </c>
      <c r="E52" s="760"/>
      <c r="F52" s="761">
        <v>17532036.969999999</v>
      </c>
      <c r="G52" s="760">
        <f>21364777.65+18125495.66+25978183.26+14029169.24+4229629.48+25966291.96+17532036.97</f>
        <v>127225584.22</v>
      </c>
      <c r="H52" s="759">
        <v>367292860.5</v>
      </c>
      <c r="I52" s="45">
        <f t="shared" si="1"/>
        <v>-240067276.28</v>
      </c>
      <c r="J52" s="334">
        <f t="shared" si="2"/>
        <v>-0.6536126946578642</v>
      </c>
      <c r="K52" s="759">
        <v>367292860.5</v>
      </c>
      <c r="L52" s="431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4" t="str">
        <f>'Org structure'!E49</f>
        <v>5.3 - Adminstration</v>
      </c>
      <c r="B53" s="452"/>
      <c r="C53" s="758"/>
      <c r="D53" s="759"/>
      <c r="E53" s="760"/>
      <c r="F53" s="761"/>
      <c r="G53" s="760"/>
      <c r="H53" s="759"/>
      <c r="I53" s="45">
        <f t="shared" si="1"/>
        <v>0</v>
      </c>
      <c r="J53" s="334" t="str">
        <f t="shared" si="2"/>
        <v/>
      </c>
      <c r="K53" s="759"/>
      <c r="L53" s="431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4" t="str">
        <f>'Org structure'!E50</f>
        <v>5.4 - Maluti Water</v>
      </c>
      <c r="B54" s="452"/>
      <c r="C54" s="758"/>
      <c r="D54" s="759"/>
      <c r="E54" s="760"/>
      <c r="F54" s="761">
        <f>3039.5+5065.08+5881.13</f>
        <v>13985.71</v>
      </c>
      <c r="G54" s="760">
        <f>7358.47+614.04+804.46+8135.09+1574.75+2491.84+3678.53+921.06+2420.08+4139.95+3134.85+1288.15+7088.79+921.06+1477.6+6870.49+3039.5+5065.08+5881.13</f>
        <v>66904.92</v>
      </c>
      <c r="H54" s="759"/>
      <c r="I54" s="45">
        <f t="shared" si="1"/>
        <v>66904.92</v>
      </c>
      <c r="J54" s="334" t="e">
        <f t="shared" si="2"/>
        <v>#DIV/0!</v>
      </c>
      <c r="K54" s="759"/>
      <c r="L54" s="431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4" t="str">
        <f>'Org structure'!E51</f>
        <v>5.5 - PMU</v>
      </c>
      <c r="B55" s="452"/>
      <c r="C55" s="758"/>
      <c r="D55" s="759"/>
      <c r="E55" s="760"/>
      <c r="F55" s="761"/>
      <c r="G55" s="760"/>
      <c r="H55" s="759"/>
      <c r="I55" s="45">
        <f t="shared" si="1"/>
        <v>0</v>
      </c>
      <c r="J55" s="334" t="str">
        <f t="shared" si="2"/>
        <v/>
      </c>
      <c r="K55" s="759"/>
      <c r="L55" s="431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4" t="str">
        <f>'Org structure'!E52</f>
        <v>5.6 - Director Municipal Infrastructure</v>
      </c>
      <c r="B56" s="452"/>
      <c r="C56" s="758"/>
      <c r="D56" s="759"/>
      <c r="E56" s="760"/>
      <c r="F56" s="761"/>
      <c r="G56" s="760"/>
      <c r="H56" s="759"/>
      <c r="I56" s="45">
        <f t="shared" si="1"/>
        <v>0</v>
      </c>
      <c r="J56" s="334" t="str">
        <f t="shared" si="2"/>
        <v/>
      </c>
      <c r="K56" s="759"/>
      <c r="L56" s="431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4" t="str">
        <f>'Org structure'!E53</f>
        <v>5.7 - Refuse Removal &amp; Dumping Site</v>
      </c>
      <c r="B57" s="452"/>
      <c r="C57" s="758"/>
      <c r="D57" s="759">
        <v>19266187.5</v>
      </c>
      <c r="E57" s="760"/>
      <c r="F57" s="761">
        <v>1771611.45</v>
      </c>
      <c r="G57" s="760">
        <f>1797568.66+1801247.16+1787055.66+1789394.53+1768632.99+790510.14+1771611.45</f>
        <v>11506020.59</v>
      </c>
      <c r="H57" s="759">
        <v>19266187.5</v>
      </c>
      <c r="I57" s="45">
        <f t="shared" si="1"/>
        <v>-7760166.9100000001</v>
      </c>
      <c r="J57" s="334">
        <f t="shared" si="2"/>
        <v>-0.40278684664519121</v>
      </c>
      <c r="K57" s="759">
        <v>19266187.5</v>
      </c>
      <c r="L57" s="431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4">
        <f>'Org structure'!E54</f>
        <v>0</v>
      </c>
      <c r="B58" s="452"/>
      <c r="C58" s="758"/>
      <c r="D58" s="759"/>
      <c r="E58" s="760"/>
      <c r="F58" s="761"/>
      <c r="G58" s="760"/>
      <c r="H58" s="759"/>
      <c r="I58" s="45">
        <f t="shared" si="1"/>
        <v>0</v>
      </c>
      <c r="J58" s="334" t="str">
        <f t="shared" si="2"/>
        <v/>
      </c>
      <c r="K58" s="759"/>
      <c r="L58" s="431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4">
        <f>'Org structure'!E55</f>
        <v>0</v>
      </c>
      <c r="B59" s="452"/>
      <c r="C59" s="758"/>
      <c r="D59" s="759"/>
      <c r="E59" s="760"/>
      <c r="F59" s="761"/>
      <c r="G59" s="760"/>
      <c r="H59" s="759"/>
      <c r="I59" s="45">
        <f t="shared" si="1"/>
        <v>0</v>
      </c>
      <c r="J59" s="334" t="str">
        <f t="shared" si="2"/>
        <v/>
      </c>
      <c r="K59" s="759"/>
      <c r="L59" s="431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4">
        <f>'Org structure'!E56</f>
        <v>0</v>
      </c>
      <c r="B60" s="452"/>
      <c r="C60" s="758"/>
      <c r="D60" s="759"/>
      <c r="E60" s="760"/>
      <c r="F60" s="761"/>
      <c r="G60" s="760"/>
      <c r="H60" s="759"/>
      <c r="I60" s="45">
        <f t="shared" si="1"/>
        <v>0</v>
      </c>
      <c r="J60" s="334" t="str">
        <f t="shared" si="2"/>
        <v/>
      </c>
      <c r="K60" s="759"/>
      <c r="L60" s="431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73" t="str">
        <f>'Org structure'!A7</f>
        <v>Vote 6 - Community Services</v>
      </c>
      <c r="B61" s="447"/>
      <c r="C61" s="510">
        <f>SUM(C62:C71)</f>
        <v>0</v>
      </c>
      <c r="D61" s="451">
        <f t="shared" ref="D61:K61" si="7">SUM(D62:D71)</f>
        <v>7166</v>
      </c>
      <c r="E61" s="448">
        <f t="shared" si="7"/>
        <v>0</v>
      </c>
      <c r="F61" s="450">
        <f t="shared" si="7"/>
        <v>46.52</v>
      </c>
      <c r="G61" s="448">
        <f t="shared" si="7"/>
        <v>1437.71</v>
      </c>
      <c r="H61" s="450">
        <f t="shared" si="7"/>
        <v>7166</v>
      </c>
      <c r="I61" s="45">
        <f t="shared" si="1"/>
        <v>-5728.29</v>
      </c>
      <c r="J61" s="334">
        <f t="shared" si="2"/>
        <v>-0.79937063912922135</v>
      </c>
      <c r="K61" s="449">
        <f t="shared" si="7"/>
        <v>7166</v>
      </c>
      <c r="L61" s="431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14" t="str">
        <f>'Org structure'!E58</f>
        <v>6.1 - Administration</v>
      </c>
      <c r="B62" s="452"/>
      <c r="C62" s="758"/>
      <c r="D62" s="759"/>
      <c r="E62" s="760"/>
      <c r="F62" s="761"/>
      <c r="G62" s="760"/>
      <c r="H62" s="759"/>
      <c r="I62" s="45">
        <f t="shared" si="1"/>
        <v>0</v>
      </c>
      <c r="J62" s="334" t="str">
        <f t="shared" si="2"/>
        <v/>
      </c>
      <c r="K62" s="759"/>
      <c r="L62" s="431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4" t="str">
        <f>'Org structure'!E59</f>
        <v>6.2 - Social Services</v>
      </c>
      <c r="B63" s="452"/>
      <c r="C63" s="758"/>
      <c r="D63" s="759"/>
      <c r="E63" s="760"/>
      <c r="F63" s="761"/>
      <c r="G63" s="760"/>
      <c r="H63" s="759"/>
      <c r="I63" s="45">
        <f t="shared" si="1"/>
        <v>0</v>
      </c>
      <c r="J63" s="334" t="str">
        <f t="shared" si="2"/>
        <v/>
      </c>
      <c r="K63" s="759"/>
      <c r="L63" s="431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4" t="str">
        <f>'Org structure'!E60</f>
        <v>6.3 - Libraries</v>
      </c>
      <c r="B64" s="452"/>
      <c r="C64" s="758"/>
      <c r="D64" s="759">
        <v>7166</v>
      </c>
      <c r="E64" s="760"/>
      <c r="F64" s="761">
        <v>46.52</v>
      </c>
      <c r="G64" s="760">
        <f>59.95+781.04+52.67+61.46+400.08+35.99+46.52</f>
        <v>1437.71</v>
      </c>
      <c r="H64" s="759">
        <v>7166</v>
      </c>
      <c r="I64" s="45">
        <f t="shared" si="1"/>
        <v>-5728.29</v>
      </c>
      <c r="J64" s="334">
        <f t="shared" si="2"/>
        <v>-0.79937063912922135</v>
      </c>
      <c r="K64" s="759">
        <v>7166</v>
      </c>
      <c r="L64" s="431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4" t="str">
        <f>'Org structure'!E61</f>
        <v>6.4 - Cemetries</v>
      </c>
      <c r="B65" s="452"/>
      <c r="C65" s="758"/>
      <c r="D65" s="759"/>
      <c r="E65" s="760"/>
      <c r="F65" s="761"/>
      <c r="G65" s="760"/>
      <c r="H65" s="759"/>
      <c r="I65" s="45">
        <f t="shared" si="1"/>
        <v>0</v>
      </c>
      <c r="J65" s="334" t="str">
        <f t="shared" si="2"/>
        <v/>
      </c>
      <c r="K65" s="759"/>
      <c r="L65" s="431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4" t="str">
        <f>'Org structure'!E62</f>
        <v>6.5 - Director Community</v>
      </c>
      <c r="B66" s="452"/>
      <c r="C66" s="758"/>
      <c r="D66" s="759"/>
      <c r="E66" s="760"/>
      <c r="F66" s="761"/>
      <c r="G66" s="760"/>
      <c r="H66" s="759"/>
      <c r="I66" s="45">
        <f t="shared" si="1"/>
        <v>0</v>
      </c>
      <c r="J66" s="334" t="str">
        <f t="shared" si="2"/>
        <v/>
      </c>
      <c r="K66" s="759"/>
      <c r="L66" s="431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4">
        <f>'Org structure'!E63</f>
        <v>0</v>
      </c>
      <c r="B67" s="452"/>
      <c r="C67" s="758"/>
      <c r="D67" s="759"/>
      <c r="E67" s="760"/>
      <c r="F67" s="761"/>
      <c r="G67" s="760"/>
      <c r="H67" s="759"/>
      <c r="I67" s="45">
        <f t="shared" si="1"/>
        <v>0</v>
      </c>
      <c r="J67" s="334" t="str">
        <f t="shared" si="2"/>
        <v/>
      </c>
      <c r="K67" s="759"/>
      <c r="L67" s="431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4">
        <f>'Org structure'!E64</f>
        <v>0</v>
      </c>
      <c r="B68" s="452"/>
      <c r="C68" s="758"/>
      <c r="D68" s="759"/>
      <c r="E68" s="760"/>
      <c r="F68" s="761"/>
      <c r="G68" s="760"/>
      <c r="H68" s="759"/>
      <c r="I68" s="45">
        <f t="shared" si="1"/>
        <v>0</v>
      </c>
      <c r="J68" s="334" t="str">
        <f t="shared" si="2"/>
        <v/>
      </c>
      <c r="K68" s="759"/>
      <c r="L68" s="43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4">
        <f>'Org structure'!E65</f>
        <v>0</v>
      </c>
      <c r="B69" s="452"/>
      <c r="C69" s="758"/>
      <c r="D69" s="759"/>
      <c r="E69" s="760"/>
      <c r="F69" s="761"/>
      <c r="G69" s="760"/>
      <c r="H69" s="759"/>
      <c r="I69" s="45">
        <f t="shared" si="1"/>
        <v>0</v>
      </c>
      <c r="J69" s="334" t="str">
        <f t="shared" si="2"/>
        <v/>
      </c>
      <c r="K69" s="759"/>
      <c r="L69" s="431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4">
        <f>'Org structure'!E66</f>
        <v>0</v>
      </c>
      <c r="B70" s="452"/>
      <c r="C70" s="758"/>
      <c r="D70" s="759"/>
      <c r="E70" s="760"/>
      <c r="F70" s="761"/>
      <c r="G70" s="760"/>
      <c r="H70" s="759"/>
      <c r="I70" s="45">
        <f t="shared" ref="I70:I133" si="8">G70-H70</f>
        <v>0</v>
      </c>
      <c r="J70" s="334" t="str">
        <f t="shared" ref="J70:J133" si="9">IF(I70=0,"",I70/H70)</f>
        <v/>
      </c>
      <c r="K70" s="759"/>
      <c r="L70" s="431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4">
        <f>'Org structure'!E67</f>
        <v>0</v>
      </c>
      <c r="B71" s="452"/>
      <c r="C71" s="758"/>
      <c r="D71" s="759"/>
      <c r="E71" s="760"/>
      <c r="F71" s="761"/>
      <c r="G71" s="760"/>
      <c r="H71" s="759"/>
      <c r="I71" s="45">
        <f t="shared" si="8"/>
        <v>0</v>
      </c>
      <c r="J71" s="334" t="str">
        <f t="shared" si="9"/>
        <v/>
      </c>
      <c r="K71" s="759"/>
      <c r="L71" s="431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73" t="str">
        <f>'Org structure'!A8</f>
        <v>Vote 7 - Public Safety</v>
      </c>
      <c r="B72" s="447"/>
      <c r="C72" s="510">
        <f t="shared" ref="C72:K72" si="10">SUM(C73:C82)</f>
        <v>0</v>
      </c>
      <c r="D72" s="451">
        <f t="shared" si="10"/>
        <v>3348880</v>
      </c>
      <c r="E72" s="448">
        <f t="shared" si="10"/>
        <v>0</v>
      </c>
      <c r="F72" s="450">
        <f t="shared" si="10"/>
        <v>49617.66</v>
      </c>
      <c r="G72" s="448">
        <f t="shared" si="10"/>
        <v>895763.10000000009</v>
      </c>
      <c r="H72" s="450">
        <f t="shared" si="10"/>
        <v>3348880</v>
      </c>
      <c r="I72" s="45">
        <f t="shared" si="8"/>
        <v>-2453116.9</v>
      </c>
      <c r="J72" s="334">
        <f t="shared" si="9"/>
        <v>-0.73251860323451423</v>
      </c>
      <c r="K72" s="449">
        <f t="shared" si="10"/>
        <v>3348880</v>
      </c>
      <c r="L72" s="431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14" t="str">
        <f>'Org structure'!E69</f>
        <v>7.1 - Disaster Management</v>
      </c>
      <c r="B73" s="452"/>
      <c r="C73" s="758"/>
      <c r="D73" s="759"/>
      <c r="E73" s="760"/>
      <c r="F73" s="761"/>
      <c r="G73" s="760"/>
      <c r="H73" s="759"/>
      <c r="I73" s="45">
        <f t="shared" si="8"/>
        <v>0</v>
      </c>
      <c r="J73" s="334" t="str">
        <f t="shared" si="9"/>
        <v/>
      </c>
      <c r="K73" s="759"/>
      <c r="L73" s="431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4" t="str">
        <f>'Org structure'!E70</f>
        <v>7.2 - Traffic Control</v>
      </c>
      <c r="B74" s="452"/>
      <c r="C74" s="758"/>
      <c r="D74" s="759">
        <v>3104025</v>
      </c>
      <c r="E74" s="760"/>
      <c r="F74" s="761">
        <v>43833.5</v>
      </c>
      <c r="G74" s="760">
        <f>193112.18+112043.2+104682.4+42013.65+127898.25+52473.39+43833.5</f>
        <v>676056.57000000007</v>
      </c>
      <c r="H74" s="759">
        <v>3104025</v>
      </c>
      <c r="I74" s="45">
        <f t="shared" si="8"/>
        <v>-2427968.4299999997</v>
      </c>
      <c r="J74" s="334">
        <f t="shared" si="9"/>
        <v>-0.78220002416217649</v>
      </c>
      <c r="K74" s="759">
        <v>3104025</v>
      </c>
      <c r="L74" s="431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4" t="str">
        <f>'Org structure'!E71</f>
        <v>7.3 - Fire Protection</v>
      </c>
      <c r="B75" s="452"/>
      <c r="C75" s="758"/>
      <c r="D75" s="759">
        <v>244855</v>
      </c>
      <c r="E75" s="760"/>
      <c r="F75" s="761">
        <v>5784.16</v>
      </c>
      <c r="G75" s="760">
        <f>78846.6+11121.85+22053.41+13043.46+37191.34+51665.71+5784.16</f>
        <v>219706.53</v>
      </c>
      <c r="H75" s="759">
        <v>244855</v>
      </c>
      <c r="I75" s="45">
        <f t="shared" si="8"/>
        <v>-25148.47</v>
      </c>
      <c r="J75" s="334">
        <f t="shared" si="9"/>
        <v>-0.10270760245859795</v>
      </c>
      <c r="K75" s="759">
        <v>244855</v>
      </c>
      <c r="L75" s="431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4" t="str">
        <f>'Org structure'!E72</f>
        <v>7.4 - Public Safety &amp; Transport</v>
      </c>
      <c r="B76" s="452"/>
      <c r="C76" s="758"/>
      <c r="D76" s="759"/>
      <c r="E76" s="760"/>
      <c r="F76" s="761"/>
      <c r="G76" s="760"/>
      <c r="H76" s="759"/>
      <c r="I76" s="45">
        <f t="shared" si="8"/>
        <v>0</v>
      </c>
      <c r="J76" s="334" t="str">
        <f t="shared" si="9"/>
        <v/>
      </c>
      <c r="K76" s="759"/>
      <c r="L76" s="431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4" t="str">
        <f>'Org structure'!E73</f>
        <v>7.5 - Security Guards</v>
      </c>
      <c r="B77" s="452"/>
      <c r="C77" s="758"/>
      <c r="D77" s="759"/>
      <c r="E77" s="760"/>
      <c r="F77" s="761"/>
      <c r="G77" s="760"/>
      <c r="H77" s="759"/>
      <c r="I77" s="45">
        <f t="shared" si="8"/>
        <v>0</v>
      </c>
      <c r="J77" s="334" t="str">
        <f t="shared" si="9"/>
        <v/>
      </c>
      <c r="K77" s="759"/>
      <c r="L77" s="43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4" t="str">
        <f>'Org structure'!E74</f>
        <v>7.6 - Director Public Safety</v>
      </c>
      <c r="B78" s="452"/>
      <c r="C78" s="758"/>
      <c r="D78" s="759"/>
      <c r="E78" s="760"/>
      <c r="F78" s="761"/>
      <c r="G78" s="760"/>
      <c r="H78" s="759"/>
      <c r="I78" s="45">
        <f t="shared" si="8"/>
        <v>0</v>
      </c>
      <c r="J78" s="334" t="str">
        <f t="shared" si="9"/>
        <v/>
      </c>
      <c r="K78" s="759"/>
      <c r="L78" s="453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>
      <c r="A79" s="414" t="str">
        <f>'Org structure'!E75</f>
        <v>7.7 - Roads and stormwater</v>
      </c>
      <c r="B79" s="452"/>
      <c r="C79" s="758"/>
      <c r="D79" s="759"/>
      <c r="E79" s="760"/>
      <c r="F79" s="761"/>
      <c r="G79" s="760"/>
      <c r="H79" s="759"/>
      <c r="I79" s="45">
        <f t="shared" si="8"/>
        <v>0</v>
      </c>
      <c r="J79" s="334" t="str">
        <f t="shared" si="9"/>
        <v/>
      </c>
      <c r="K79" s="759"/>
      <c r="L79" s="453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4">
        <f>'Org structure'!E76</f>
        <v>0</v>
      </c>
      <c r="B80" s="452"/>
      <c r="C80" s="758"/>
      <c r="D80" s="759"/>
      <c r="E80" s="760"/>
      <c r="F80" s="761"/>
      <c r="G80" s="760"/>
      <c r="H80" s="759"/>
      <c r="I80" s="45">
        <f t="shared" si="8"/>
        <v>0</v>
      </c>
      <c r="J80" s="334" t="str">
        <f t="shared" si="9"/>
        <v/>
      </c>
      <c r="K80" s="759"/>
      <c r="L80" s="453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4">
        <f>'Org structure'!E77</f>
        <v>0</v>
      </c>
      <c r="B81" s="452"/>
      <c r="C81" s="758"/>
      <c r="D81" s="759"/>
      <c r="E81" s="760"/>
      <c r="F81" s="761"/>
      <c r="G81" s="760"/>
      <c r="H81" s="759"/>
      <c r="I81" s="45">
        <f t="shared" si="8"/>
        <v>0</v>
      </c>
      <c r="J81" s="334" t="str">
        <f t="shared" si="9"/>
        <v/>
      </c>
      <c r="K81" s="759"/>
      <c r="L81" s="453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4">
        <f>'Org structure'!E78</f>
        <v>0</v>
      </c>
      <c r="B82" s="452"/>
      <c r="C82" s="758"/>
      <c r="D82" s="759"/>
      <c r="E82" s="760"/>
      <c r="F82" s="761"/>
      <c r="G82" s="760"/>
      <c r="H82" s="759"/>
      <c r="I82" s="45">
        <f t="shared" si="8"/>
        <v>0</v>
      </c>
      <c r="J82" s="334" t="str">
        <f t="shared" si="9"/>
        <v/>
      </c>
      <c r="K82" s="759"/>
      <c r="L82" s="453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73" t="str">
        <f>'Org structure'!A9</f>
        <v>Vote 8 - Parks, Sports &amp; Recreation</v>
      </c>
      <c r="B83" s="452"/>
      <c r="C83" s="510">
        <f>SUM(C84:C93)</f>
        <v>0</v>
      </c>
      <c r="D83" s="451">
        <f t="shared" ref="D83:K83" si="11">SUM(D84:D93)</f>
        <v>1585875</v>
      </c>
      <c r="E83" s="448">
        <f t="shared" si="11"/>
        <v>0</v>
      </c>
      <c r="F83" s="450">
        <f t="shared" si="11"/>
        <v>52214.22</v>
      </c>
      <c r="G83" s="448">
        <f t="shared" si="11"/>
        <v>690505.55999999994</v>
      </c>
      <c r="H83" s="450">
        <f t="shared" si="11"/>
        <v>1585875</v>
      </c>
      <c r="I83" s="45">
        <f t="shared" si="8"/>
        <v>-895369.44000000006</v>
      </c>
      <c r="J83" s="334">
        <f t="shared" si="9"/>
        <v>-0.56459017261764011</v>
      </c>
      <c r="K83" s="449">
        <f t="shared" si="11"/>
        <v>1585875</v>
      </c>
      <c r="L83" s="45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14" t="str">
        <f>'Org structure'!E80</f>
        <v>8.1 - Administration</v>
      </c>
      <c r="B84" s="452"/>
      <c r="C84" s="758"/>
      <c r="D84" s="759">
        <v>1585875</v>
      </c>
      <c r="E84" s="760"/>
      <c r="F84" s="761">
        <v>52214.22</v>
      </c>
      <c r="G84" s="760">
        <f>43726.77+42478.47+123557.41+38722.5+64518.7+325287.49+52214.22</f>
        <v>690505.55999999994</v>
      </c>
      <c r="H84" s="759">
        <v>1585875</v>
      </c>
      <c r="I84" s="45">
        <f t="shared" si="8"/>
        <v>-895369.44000000006</v>
      </c>
      <c r="J84" s="334">
        <f t="shared" si="9"/>
        <v>-0.56459017261764011</v>
      </c>
      <c r="K84" s="759">
        <v>1585875</v>
      </c>
      <c r="L84" s="453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4" t="str">
        <f>'Org structure'!E81</f>
        <v>8.2 - Director Parks</v>
      </c>
      <c r="B85" s="452"/>
      <c r="C85" s="758"/>
      <c r="D85" s="759"/>
      <c r="E85" s="760"/>
      <c r="F85" s="761"/>
      <c r="G85" s="760"/>
      <c r="H85" s="759"/>
      <c r="I85" s="45">
        <f t="shared" si="8"/>
        <v>0</v>
      </c>
      <c r="J85" s="334" t="str">
        <f t="shared" si="9"/>
        <v/>
      </c>
      <c r="K85" s="759"/>
      <c r="L85" s="453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4">
        <f>'Org structure'!E82</f>
        <v>0</v>
      </c>
      <c r="B86" s="452"/>
      <c r="C86" s="758"/>
      <c r="D86" s="759"/>
      <c r="E86" s="760"/>
      <c r="F86" s="761"/>
      <c r="G86" s="760"/>
      <c r="H86" s="759"/>
      <c r="I86" s="45">
        <f t="shared" si="8"/>
        <v>0</v>
      </c>
      <c r="J86" s="334" t="str">
        <f t="shared" si="9"/>
        <v/>
      </c>
      <c r="K86" s="759"/>
      <c r="L86" s="453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4">
        <f>'Org structure'!E83</f>
        <v>0</v>
      </c>
      <c r="B87" s="452"/>
      <c r="C87" s="758"/>
      <c r="D87" s="759"/>
      <c r="E87" s="760"/>
      <c r="F87" s="761"/>
      <c r="G87" s="760"/>
      <c r="H87" s="759"/>
      <c r="I87" s="45">
        <f t="shared" si="8"/>
        <v>0</v>
      </c>
      <c r="J87" s="334" t="str">
        <f t="shared" si="9"/>
        <v/>
      </c>
      <c r="K87" s="759"/>
      <c r="L87" s="453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4">
        <f>'Org structure'!E84</f>
        <v>0</v>
      </c>
      <c r="B88" s="452"/>
      <c r="C88" s="758"/>
      <c r="D88" s="759"/>
      <c r="E88" s="760"/>
      <c r="F88" s="761"/>
      <c r="G88" s="760"/>
      <c r="H88" s="759"/>
      <c r="I88" s="45">
        <f t="shared" si="8"/>
        <v>0</v>
      </c>
      <c r="J88" s="334" t="str">
        <f t="shared" si="9"/>
        <v/>
      </c>
      <c r="K88" s="759"/>
      <c r="L88" s="453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4">
        <f>'Org structure'!E85</f>
        <v>0</v>
      </c>
      <c r="B89" s="452"/>
      <c r="C89" s="758"/>
      <c r="D89" s="759"/>
      <c r="E89" s="760"/>
      <c r="F89" s="761"/>
      <c r="G89" s="760"/>
      <c r="H89" s="759"/>
      <c r="I89" s="45">
        <f t="shared" si="8"/>
        <v>0</v>
      </c>
      <c r="J89" s="334" t="str">
        <f t="shared" si="9"/>
        <v/>
      </c>
      <c r="K89" s="759"/>
      <c r="L89" s="453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4">
        <f>'Org structure'!E86</f>
        <v>0</v>
      </c>
      <c r="B90" s="452"/>
      <c r="C90" s="758"/>
      <c r="D90" s="759"/>
      <c r="E90" s="760"/>
      <c r="F90" s="761"/>
      <c r="G90" s="760"/>
      <c r="H90" s="759"/>
      <c r="I90" s="45">
        <f t="shared" si="8"/>
        <v>0</v>
      </c>
      <c r="J90" s="334" t="str">
        <f t="shared" si="9"/>
        <v/>
      </c>
      <c r="K90" s="759"/>
      <c r="L90" s="453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4">
        <f>'Org structure'!E87</f>
        <v>0</v>
      </c>
      <c r="B91" s="452"/>
      <c r="C91" s="758"/>
      <c r="D91" s="759"/>
      <c r="E91" s="760"/>
      <c r="F91" s="761"/>
      <c r="G91" s="760"/>
      <c r="H91" s="759"/>
      <c r="I91" s="45">
        <f t="shared" si="8"/>
        <v>0</v>
      </c>
      <c r="J91" s="334" t="str">
        <f t="shared" si="9"/>
        <v/>
      </c>
      <c r="K91" s="759"/>
      <c r="L91" s="453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4">
        <f>'Org structure'!E88</f>
        <v>0</v>
      </c>
      <c r="B92" s="452"/>
      <c r="C92" s="758"/>
      <c r="D92" s="759"/>
      <c r="E92" s="760"/>
      <c r="F92" s="761"/>
      <c r="G92" s="760"/>
      <c r="H92" s="759"/>
      <c r="I92" s="45">
        <f t="shared" si="8"/>
        <v>0</v>
      </c>
      <c r="J92" s="334" t="str">
        <f t="shared" si="9"/>
        <v/>
      </c>
      <c r="K92" s="759"/>
      <c r="L92" s="453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4">
        <f>'Org structure'!E89</f>
        <v>0</v>
      </c>
      <c r="B93" s="452"/>
      <c r="C93" s="758"/>
      <c r="D93" s="759"/>
      <c r="E93" s="760"/>
      <c r="F93" s="761"/>
      <c r="G93" s="760"/>
      <c r="H93" s="759"/>
      <c r="I93" s="45">
        <f t="shared" si="8"/>
        <v>0</v>
      </c>
      <c r="J93" s="334" t="str">
        <f t="shared" si="9"/>
        <v/>
      </c>
      <c r="K93" s="759"/>
      <c r="L93" s="453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73" t="str">
        <f>'Org structure'!A10</f>
        <v>Vote 9 - LED &amp; Tourism</v>
      </c>
      <c r="B94" s="452"/>
      <c r="C94" s="510">
        <f>SUM(C95:C104)</f>
        <v>0</v>
      </c>
      <c r="D94" s="451">
        <f t="shared" ref="D94:K94" si="12">SUM(D95:D104)</f>
        <v>0</v>
      </c>
      <c r="E94" s="448">
        <f t="shared" si="12"/>
        <v>0</v>
      </c>
      <c r="F94" s="450">
        <f t="shared" si="12"/>
        <v>0</v>
      </c>
      <c r="G94" s="448">
        <f t="shared" si="12"/>
        <v>0</v>
      </c>
      <c r="H94" s="450">
        <f t="shared" si="12"/>
        <v>0</v>
      </c>
      <c r="I94" s="45">
        <f t="shared" si="8"/>
        <v>0</v>
      </c>
      <c r="J94" s="334" t="str">
        <f t="shared" si="9"/>
        <v/>
      </c>
      <c r="K94" s="449">
        <f t="shared" si="12"/>
        <v>0</v>
      </c>
      <c r="L94" s="453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14" t="str">
        <f>'Org structure'!E91</f>
        <v>9.1 - Administration</v>
      </c>
      <c r="B95" s="452"/>
      <c r="C95" s="758"/>
      <c r="D95" s="759"/>
      <c r="E95" s="760"/>
      <c r="F95" s="761"/>
      <c r="G95" s="760"/>
      <c r="H95" s="761"/>
      <c r="I95" s="45">
        <f t="shared" si="8"/>
        <v>0</v>
      </c>
      <c r="J95" s="334" t="str">
        <f t="shared" si="9"/>
        <v/>
      </c>
      <c r="K95" s="762"/>
      <c r="L95" s="453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4" t="str">
        <f>'Org structure'!E92</f>
        <v>9.2 - Local Economic Development</v>
      </c>
      <c r="B96" s="452"/>
      <c r="C96" s="758"/>
      <c r="D96" s="759"/>
      <c r="E96" s="760"/>
      <c r="F96" s="761"/>
      <c r="G96" s="760"/>
      <c r="H96" s="761"/>
      <c r="I96" s="45">
        <f t="shared" si="8"/>
        <v>0</v>
      </c>
      <c r="J96" s="334" t="str">
        <f t="shared" si="9"/>
        <v/>
      </c>
      <c r="K96" s="762"/>
      <c r="L96" s="453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4" t="str">
        <f>'Org structure'!E93</f>
        <v>9.3 - Tourism</v>
      </c>
      <c r="B97" s="452"/>
      <c r="C97" s="758"/>
      <c r="D97" s="759"/>
      <c r="E97" s="760"/>
      <c r="F97" s="761"/>
      <c r="G97" s="760"/>
      <c r="H97" s="761"/>
      <c r="I97" s="45">
        <f t="shared" si="8"/>
        <v>0</v>
      </c>
      <c r="J97" s="334" t="str">
        <f t="shared" si="9"/>
        <v/>
      </c>
      <c r="K97" s="762"/>
      <c r="L97" s="453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4" t="str">
        <f>'Org structure'!E94</f>
        <v>9.4 - Director LED</v>
      </c>
      <c r="B98" s="452"/>
      <c r="C98" s="758"/>
      <c r="D98" s="759"/>
      <c r="E98" s="760"/>
      <c r="F98" s="761"/>
      <c r="G98" s="760"/>
      <c r="H98" s="761"/>
      <c r="I98" s="45">
        <f t="shared" si="8"/>
        <v>0</v>
      </c>
      <c r="J98" s="334" t="str">
        <f t="shared" si="9"/>
        <v/>
      </c>
      <c r="K98" s="762"/>
      <c r="L98" s="453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4">
        <f>'Org structure'!E95</f>
        <v>0</v>
      </c>
      <c r="B99" s="452"/>
      <c r="C99" s="758"/>
      <c r="D99" s="759"/>
      <c r="E99" s="760"/>
      <c r="F99" s="761"/>
      <c r="G99" s="760"/>
      <c r="H99" s="761"/>
      <c r="I99" s="45">
        <f t="shared" si="8"/>
        <v>0</v>
      </c>
      <c r="J99" s="334" t="str">
        <f t="shared" si="9"/>
        <v/>
      </c>
      <c r="K99" s="762"/>
      <c r="L99" s="453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4">
        <f>'Org structure'!E96</f>
        <v>0</v>
      </c>
      <c r="B100" s="452"/>
      <c r="C100" s="758"/>
      <c r="D100" s="759"/>
      <c r="E100" s="760"/>
      <c r="F100" s="761"/>
      <c r="G100" s="760"/>
      <c r="H100" s="761"/>
      <c r="I100" s="45">
        <f t="shared" si="8"/>
        <v>0</v>
      </c>
      <c r="J100" s="334" t="str">
        <f t="shared" si="9"/>
        <v/>
      </c>
      <c r="K100" s="762"/>
      <c r="L100" s="453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4">
        <f>'Org structure'!E97</f>
        <v>0</v>
      </c>
      <c r="B101" s="452"/>
      <c r="C101" s="758"/>
      <c r="D101" s="759"/>
      <c r="E101" s="760"/>
      <c r="F101" s="761"/>
      <c r="G101" s="760"/>
      <c r="H101" s="761"/>
      <c r="I101" s="45">
        <f t="shared" si="8"/>
        <v>0</v>
      </c>
      <c r="J101" s="334" t="str">
        <f t="shared" si="9"/>
        <v/>
      </c>
      <c r="K101" s="762"/>
      <c r="L101" s="453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4">
        <f>'Org structure'!E98</f>
        <v>0</v>
      </c>
      <c r="B102" s="452"/>
      <c r="C102" s="758"/>
      <c r="D102" s="759"/>
      <c r="E102" s="760"/>
      <c r="F102" s="761"/>
      <c r="G102" s="760"/>
      <c r="H102" s="761"/>
      <c r="I102" s="45">
        <f t="shared" si="8"/>
        <v>0</v>
      </c>
      <c r="J102" s="334" t="str">
        <f t="shared" si="9"/>
        <v/>
      </c>
      <c r="K102" s="762"/>
      <c r="L102" s="45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4">
        <f>'Org structure'!E99</f>
        <v>0</v>
      </c>
      <c r="B103" s="452"/>
      <c r="C103" s="758"/>
      <c r="D103" s="759"/>
      <c r="E103" s="760"/>
      <c r="F103" s="761"/>
      <c r="G103" s="760"/>
      <c r="H103" s="761"/>
      <c r="I103" s="45">
        <f t="shared" si="8"/>
        <v>0</v>
      </c>
      <c r="J103" s="334" t="str">
        <f t="shared" si="9"/>
        <v/>
      </c>
      <c r="K103" s="762"/>
      <c r="L103" s="45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4">
        <f>'Org structure'!E100</f>
        <v>0</v>
      </c>
      <c r="B104" s="452"/>
      <c r="C104" s="758"/>
      <c r="D104" s="759"/>
      <c r="E104" s="760"/>
      <c r="F104" s="761"/>
      <c r="G104" s="760"/>
      <c r="H104" s="761"/>
      <c r="I104" s="45">
        <f t="shared" si="8"/>
        <v>0</v>
      </c>
      <c r="J104" s="334" t="str">
        <f t="shared" si="9"/>
        <v/>
      </c>
      <c r="K104" s="762"/>
      <c r="L104" s="45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73" t="str">
        <f>'Org structure'!A11</f>
        <v>Vote 10 - Housing Spatial Development &amp; Planning</v>
      </c>
      <c r="B105" s="452"/>
      <c r="C105" s="510">
        <f>SUM(C106:C115)</f>
        <v>0</v>
      </c>
      <c r="D105" s="451">
        <f t="shared" ref="D105:K105" si="13">SUM(D106:D115)</f>
        <v>1409745</v>
      </c>
      <c r="E105" s="448">
        <f t="shared" si="13"/>
        <v>0</v>
      </c>
      <c r="F105" s="450">
        <f t="shared" si="13"/>
        <v>26769.370000000003</v>
      </c>
      <c r="G105" s="448">
        <f t="shared" si="13"/>
        <v>304751.35999999999</v>
      </c>
      <c r="H105" s="450">
        <f t="shared" si="13"/>
        <v>1409745</v>
      </c>
      <c r="I105" s="45">
        <f t="shared" si="8"/>
        <v>-1104993.6400000001</v>
      </c>
      <c r="J105" s="334">
        <f t="shared" si="9"/>
        <v>-0.78382518824326397</v>
      </c>
      <c r="K105" s="449">
        <f t="shared" si="13"/>
        <v>1409745</v>
      </c>
      <c r="L105" s="45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14" t="str">
        <f>'Org structure'!E102</f>
        <v>10.1 - Housing Services</v>
      </c>
      <c r="B106" s="452"/>
      <c r="C106" s="758"/>
      <c r="D106" s="759">
        <v>500000</v>
      </c>
      <c r="E106" s="760"/>
      <c r="F106" s="761"/>
      <c r="G106" s="760"/>
      <c r="H106" s="759">
        <v>500000</v>
      </c>
      <c r="I106" s="45">
        <f t="shared" si="8"/>
        <v>-500000</v>
      </c>
      <c r="J106" s="334">
        <f t="shared" si="9"/>
        <v>-1</v>
      </c>
      <c r="K106" s="759">
        <v>500000</v>
      </c>
      <c r="L106" s="45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4" t="str">
        <f>'Org structure'!E103</f>
        <v>10.2 - Council Building &amp; Estates</v>
      </c>
      <c r="B107" s="452"/>
      <c r="C107" s="758"/>
      <c r="D107" s="759"/>
      <c r="E107" s="760"/>
      <c r="F107" s="761"/>
      <c r="G107" s="760"/>
      <c r="H107" s="759"/>
      <c r="I107" s="45">
        <f t="shared" si="8"/>
        <v>0</v>
      </c>
      <c r="J107" s="334" t="str">
        <f t="shared" si="9"/>
        <v/>
      </c>
      <c r="K107" s="759"/>
      <c r="L107" s="45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4" t="str">
        <f>'Org structure'!E104</f>
        <v>10.3 - Town Planning</v>
      </c>
      <c r="B108" s="452"/>
      <c r="C108" s="758"/>
      <c r="D108" s="759">
        <v>402736</v>
      </c>
      <c r="E108" s="760"/>
      <c r="F108" s="761">
        <v>451.2</v>
      </c>
      <c r="G108" s="760">
        <f>672.4+30+1814.8+433.2+451.2</f>
        <v>3401.5999999999995</v>
      </c>
      <c r="H108" s="759">
        <v>402736</v>
      </c>
      <c r="I108" s="45">
        <f t="shared" si="8"/>
        <v>-399334.40000000002</v>
      </c>
      <c r="J108" s="334">
        <f t="shared" si="9"/>
        <v>-0.99155377219816465</v>
      </c>
      <c r="K108" s="759">
        <v>402736</v>
      </c>
      <c r="L108" s="45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4" t="str">
        <f>'Org structure'!E105</f>
        <v>10.4 - Building Inspections</v>
      </c>
      <c r="B109" s="452"/>
      <c r="C109" s="758"/>
      <c r="D109" s="759">
        <v>257009</v>
      </c>
      <c r="E109" s="760"/>
      <c r="F109" s="761">
        <v>11800.59</v>
      </c>
      <c r="G109" s="760">
        <f>58538.2+14743.95+19569.22+14914.87+22023.32+4643.15+11800.59</f>
        <v>146233.29999999999</v>
      </c>
      <c r="H109" s="759">
        <v>257009</v>
      </c>
      <c r="I109" s="45">
        <f t="shared" si="8"/>
        <v>-110775.70000000001</v>
      </c>
      <c r="J109" s="334">
        <f t="shared" si="9"/>
        <v>-0.43101875809796547</v>
      </c>
      <c r="K109" s="759">
        <v>257009</v>
      </c>
      <c r="L109" s="45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4" t="str">
        <f>'Org structure'!E106</f>
        <v>10.5 - Spartial Planning &amp; Development</v>
      </c>
      <c r="B110" s="452"/>
      <c r="C110" s="758"/>
      <c r="D110" s="759">
        <v>250000</v>
      </c>
      <c r="E110" s="760"/>
      <c r="F110" s="761">
        <v>14517.58</v>
      </c>
      <c r="G110" s="760">
        <f>35657.96+14254.46+7500.06+66842.09+10291.64+6052.67+14517.58</f>
        <v>155116.46</v>
      </c>
      <c r="H110" s="759">
        <v>250000</v>
      </c>
      <c r="I110" s="45">
        <f t="shared" si="8"/>
        <v>-94883.540000000008</v>
      </c>
      <c r="J110" s="334">
        <f t="shared" si="9"/>
        <v>-0.37953416000000001</v>
      </c>
      <c r="K110" s="759">
        <v>250000</v>
      </c>
      <c r="L110" s="45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4" t="str">
        <f>'Org structure'!E107</f>
        <v>10.6 - Administration</v>
      </c>
      <c r="B111" s="452"/>
      <c r="C111" s="758"/>
      <c r="D111" s="759"/>
      <c r="E111" s="760"/>
      <c r="F111" s="761"/>
      <c r="G111" s="760"/>
      <c r="H111" s="759"/>
      <c r="I111" s="45">
        <f t="shared" si="8"/>
        <v>0</v>
      </c>
      <c r="J111" s="334" t="str">
        <f t="shared" si="9"/>
        <v/>
      </c>
      <c r="K111" s="759"/>
      <c r="L111" s="45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4" t="str">
        <f>'Org structure'!E108</f>
        <v>10.7 - Director Housing</v>
      </c>
      <c r="B112" s="452"/>
      <c r="C112" s="758"/>
      <c r="D112" s="759"/>
      <c r="E112" s="760"/>
      <c r="F112" s="761"/>
      <c r="G112" s="760"/>
      <c r="H112" s="759"/>
      <c r="I112" s="45">
        <f t="shared" si="8"/>
        <v>0</v>
      </c>
      <c r="J112" s="334" t="str">
        <f t="shared" si="9"/>
        <v/>
      </c>
      <c r="K112" s="759"/>
      <c r="L112" s="453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4">
        <f>'Org structure'!E109</f>
        <v>0</v>
      </c>
      <c r="B113" s="452"/>
      <c r="C113" s="758"/>
      <c r="D113" s="759"/>
      <c r="E113" s="760"/>
      <c r="F113" s="761"/>
      <c r="G113" s="760"/>
      <c r="H113" s="759"/>
      <c r="I113" s="45">
        <f t="shared" si="8"/>
        <v>0</v>
      </c>
      <c r="J113" s="334" t="str">
        <f t="shared" si="9"/>
        <v/>
      </c>
      <c r="K113" s="759"/>
      <c r="L113" s="45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4">
        <f>'Org structure'!E110</f>
        <v>0</v>
      </c>
      <c r="B114" s="452"/>
      <c r="C114" s="758"/>
      <c r="D114" s="759"/>
      <c r="E114" s="760"/>
      <c r="F114" s="761"/>
      <c r="G114" s="760"/>
      <c r="H114" s="759"/>
      <c r="I114" s="45">
        <f t="shared" si="8"/>
        <v>0</v>
      </c>
      <c r="J114" s="334" t="str">
        <f t="shared" si="9"/>
        <v/>
      </c>
      <c r="K114" s="759"/>
      <c r="L114" s="453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4">
        <f>'Org structure'!E111</f>
        <v>0</v>
      </c>
      <c r="B115" s="452"/>
      <c r="C115" s="758"/>
      <c r="D115" s="759"/>
      <c r="E115" s="760"/>
      <c r="F115" s="761"/>
      <c r="G115" s="760"/>
      <c r="H115" s="759"/>
      <c r="I115" s="45">
        <f t="shared" si="8"/>
        <v>0</v>
      </c>
      <c r="J115" s="334" t="str">
        <f t="shared" si="9"/>
        <v/>
      </c>
      <c r="K115" s="759"/>
      <c r="L115" s="453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27" t="str">
        <f>'Org structure'!A12</f>
        <v>Vote 11 - Water &amp; Sanitation</v>
      </c>
      <c r="B116" s="452"/>
      <c r="C116" s="510">
        <f>SUM(C117:C126)</f>
        <v>0</v>
      </c>
      <c r="D116" s="451">
        <f t="shared" ref="D116:K116" si="14">SUM(D117:D126)</f>
        <v>66000000</v>
      </c>
      <c r="E116" s="448">
        <f t="shared" si="14"/>
        <v>0</v>
      </c>
      <c r="F116" s="450">
        <f t="shared" si="14"/>
        <v>9588704.4500000011</v>
      </c>
      <c r="G116" s="448">
        <f t="shared" si="14"/>
        <v>64876637.700000003</v>
      </c>
      <c r="H116" s="450">
        <f t="shared" si="14"/>
        <v>66000000</v>
      </c>
      <c r="I116" s="45">
        <f t="shared" si="8"/>
        <v>-1123362.299999997</v>
      </c>
      <c r="J116" s="334">
        <f t="shared" si="9"/>
        <v>-1.7020640909090865E-2</v>
      </c>
      <c r="K116" s="449">
        <f t="shared" si="14"/>
        <v>66000000</v>
      </c>
      <c r="L116" s="453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26" t="str">
        <f>'Org structure'!E113</f>
        <v>11.1 - Sanitation &amp; Sewerage</v>
      </c>
      <c r="B117" s="452"/>
      <c r="C117" s="758"/>
      <c r="D117" s="759">
        <v>66000000</v>
      </c>
      <c r="E117" s="760"/>
      <c r="F117" s="761">
        <f>6143377.19</f>
        <v>6143377.1900000004</v>
      </c>
      <c r="G117" s="760">
        <f>8756868.8+3967132.91+6866694.31+6253553.15+7189059.23+4725244.66+6143377.19</f>
        <v>43901930.25</v>
      </c>
      <c r="H117" s="759">
        <v>66000000</v>
      </c>
      <c r="I117" s="45">
        <f t="shared" si="8"/>
        <v>-22098069.75</v>
      </c>
      <c r="J117" s="334">
        <f t="shared" si="9"/>
        <v>-0.33481923863636365</v>
      </c>
      <c r="K117" s="759"/>
      <c r="L117" s="453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26" t="str">
        <f>'Org structure'!E114</f>
        <v>11.2 - Income received by the Municipality on behalf of the Entity</v>
      </c>
      <c r="B118" s="452"/>
      <c r="C118" s="758"/>
      <c r="D118" s="759"/>
      <c r="E118" s="760"/>
      <c r="F118" s="761">
        <f>1158170.28+2287132.34+24.64</f>
        <v>3445327.2600000002</v>
      </c>
      <c r="G118" s="760">
        <f>2180461.59+1197145.1+2824850.69+684515.18+1144479.93+1100523.53+2639993.97+1098647.31+2695431.82+645476.91+1317854.16+1158170.28+2287132.34+24.64</f>
        <v>20974707.450000003</v>
      </c>
      <c r="H118" s="759"/>
      <c r="I118" s="45">
        <f t="shared" si="8"/>
        <v>20974707.450000003</v>
      </c>
      <c r="J118" s="334" t="e">
        <f t="shared" si="9"/>
        <v>#DIV/0!</v>
      </c>
      <c r="K118" s="759">
        <v>66000000</v>
      </c>
      <c r="L118" s="453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26">
        <f>'Org structure'!E115</f>
        <v>0</v>
      </c>
      <c r="B119" s="452"/>
      <c r="C119" s="758"/>
      <c r="D119" s="759"/>
      <c r="E119" s="760"/>
      <c r="F119" s="761"/>
      <c r="G119" s="760"/>
      <c r="H119" s="759"/>
      <c r="I119" s="45">
        <f t="shared" si="8"/>
        <v>0</v>
      </c>
      <c r="J119" s="334" t="str">
        <f t="shared" si="9"/>
        <v/>
      </c>
      <c r="K119" s="759"/>
      <c r="L119" s="453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26">
        <f>'Org structure'!E116</f>
        <v>0</v>
      </c>
      <c r="B120" s="452"/>
      <c r="C120" s="758"/>
      <c r="D120" s="759"/>
      <c r="E120" s="760"/>
      <c r="F120" s="761"/>
      <c r="G120" s="760"/>
      <c r="H120" s="759"/>
      <c r="I120" s="45">
        <f t="shared" si="8"/>
        <v>0</v>
      </c>
      <c r="J120" s="334" t="str">
        <f t="shared" si="9"/>
        <v/>
      </c>
      <c r="K120" s="759"/>
      <c r="L120" s="453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26">
        <f>'Org structure'!E117</f>
        <v>0</v>
      </c>
      <c r="B121" s="452"/>
      <c r="C121" s="758"/>
      <c r="D121" s="759"/>
      <c r="E121" s="760"/>
      <c r="F121" s="761"/>
      <c r="G121" s="760"/>
      <c r="H121" s="759"/>
      <c r="I121" s="45">
        <f t="shared" si="8"/>
        <v>0</v>
      </c>
      <c r="J121" s="334" t="str">
        <f t="shared" si="9"/>
        <v/>
      </c>
      <c r="K121" s="759"/>
      <c r="L121" s="453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26">
        <f>'Org structure'!E118</f>
        <v>0</v>
      </c>
      <c r="B122" s="452"/>
      <c r="C122" s="758"/>
      <c r="D122" s="759"/>
      <c r="E122" s="760"/>
      <c r="F122" s="761"/>
      <c r="G122" s="760"/>
      <c r="H122" s="759"/>
      <c r="I122" s="45">
        <f t="shared" si="8"/>
        <v>0</v>
      </c>
      <c r="J122" s="334" t="str">
        <f t="shared" si="9"/>
        <v/>
      </c>
      <c r="K122" s="759"/>
      <c r="L122" s="453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26">
        <f>'Org structure'!E119</f>
        <v>0</v>
      </c>
      <c r="B123" s="452"/>
      <c r="C123" s="758"/>
      <c r="D123" s="759"/>
      <c r="E123" s="760"/>
      <c r="F123" s="761"/>
      <c r="G123" s="760"/>
      <c r="H123" s="759"/>
      <c r="I123" s="45">
        <f t="shared" si="8"/>
        <v>0</v>
      </c>
      <c r="J123" s="334" t="str">
        <f t="shared" si="9"/>
        <v/>
      </c>
      <c r="K123" s="759"/>
      <c r="L123" s="453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26">
        <f>'Org structure'!E120</f>
        <v>0</v>
      </c>
      <c r="B124" s="452"/>
      <c r="C124" s="758"/>
      <c r="D124" s="759"/>
      <c r="E124" s="760"/>
      <c r="F124" s="761"/>
      <c r="G124" s="760"/>
      <c r="H124" s="759"/>
      <c r="I124" s="45">
        <f t="shared" si="8"/>
        <v>0</v>
      </c>
      <c r="J124" s="334" t="str">
        <f t="shared" si="9"/>
        <v/>
      </c>
      <c r="K124" s="759"/>
      <c r="L124" s="453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26">
        <f>'Org structure'!E121</f>
        <v>0</v>
      </c>
      <c r="B125" s="452"/>
      <c r="C125" s="758"/>
      <c r="D125" s="759"/>
      <c r="E125" s="760"/>
      <c r="F125" s="761"/>
      <c r="G125" s="760"/>
      <c r="H125" s="759"/>
      <c r="I125" s="45">
        <f t="shared" si="8"/>
        <v>0</v>
      </c>
      <c r="J125" s="334" t="str">
        <f t="shared" si="9"/>
        <v/>
      </c>
      <c r="K125" s="759"/>
      <c r="L125" s="453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26">
        <f>'Org structure'!E122</f>
        <v>0</v>
      </c>
      <c r="B126" s="452"/>
      <c r="C126" s="758"/>
      <c r="D126" s="759"/>
      <c r="E126" s="760"/>
      <c r="F126" s="761"/>
      <c r="G126" s="760"/>
      <c r="H126" s="759"/>
      <c r="I126" s="45">
        <f t="shared" si="8"/>
        <v>0</v>
      </c>
      <c r="J126" s="334" t="str">
        <f t="shared" si="9"/>
        <v/>
      </c>
      <c r="K126" s="759"/>
      <c r="L126" s="453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27" t="str">
        <f>'Org structure'!A13</f>
        <v>Vote 12 - Water</v>
      </c>
      <c r="B127" s="452"/>
      <c r="C127" s="510">
        <f>SUM(C128:C137)</f>
        <v>0</v>
      </c>
      <c r="D127" s="451">
        <f t="shared" ref="D127:K127" si="15">SUM(D128:D137)</f>
        <v>120341000</v>
      </c>
      <c r="E127" s="448">
        <f t="shared" si="15"/>
        <v>0</v>
      </c>
      <c r="F127" s="450">
        <f t="shared" si="15"/>
        <v>638416.67000000004</v>
      </c>
      <c r="G127" s="448">
        <f t="shared" si="15"/>
        <v>39221917.020000003</v>
      </c>
      <c r="H127" s="450">
        <f t="shared" si="15"/>
        <v>120341000</v>
      </c>
      <c r="I127" s="45">
        <f t="shared" si="8"/>
        <v>-81119082.979999989</v>
      </c>
      <c r="J127" s="334">
        <f t="shared" si="9"/>
        <v>-0.67407685643296955</v>
      </c>
      <c r="K127" s="449">
        <f t="shared" si="15"/>
        <v>120341000</v>
      </c>
      <c r="L127" s="453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26" t="str">
        <f>'Org structure'!E124</f>
        <v>12.1 - Water</v>
      </c>
      <c r="B128" s="452"/>
      <c r="C128" s="758"/>
      <c r="D128" s="759">
        <v>120341000</v>
      </c>
      <c r="E128" s="760"/>
      <c r="F128" s="760">
        <v>638416.67000000004</v>
      </c>
      <c r="G128" s="760">
        <f>6198917+6476916.67+12953833.34+6476916.67+6476916.67+638416.67</f>
        <v>39221917.020000003</v>
      </c>
      <c r="H128" s="759">
        <v>120341000</v>
      </c>
      <c r="I128" s="45">
        <f t="shared" si="8"/>
        <v>-81119082.979999989</v>
      </c>
      <c r="J128" s="334">
        <f t="shared" si="9"/>
        <v>-0.67407685643296955</v>
      </c>
      <c r="K128" s="759">
        <v>120341000</v>
      </c>
      <c r="L128" s="453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26">
        <f>'Org structure'!E125</f>
        <v>0</v>
      </c>
      <c r="B129" s="452"/>
      <c r="C129" s="758"/>
      <c r="D129" s="759"/>
      <c r="E129" s="760"/>
      <c r="F129" s="761"/>
      <c r="G129" s="760"/>
      <c r="H129" s="761"/>
      <c r="I129" s="45">
        <f t="shared" si="8"/>
        <v>0</v>
      </c>
      <c r="J129" s="334" t="str">
        <f t="shared" si="9"/>
        <v/>
      </c>
      <c r="K129" s="762"/>
      <c r="L129" s="453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26">
        <f>'Org structure'!E126</f>
        <v>0</v>
      </c>
      <c r="B130" s="452"/>
      <c r="C130" s="758"/>
      <c r="D130" s="759"/>
      <c r="E130" s="760"/>
      <c r="F130" s="761"/>
      <c r="G130" s="760"/>
      <c r="H130" s="761"/>
      <c r="I130" s="45">
        <f t="shared" si="8"/>
        <v>0</v>
      </c>
      <c r="J130" s="334" t="str">
        <f t="shared" si="9"/>
        <v/>
      </c>
      <c r="K130" s="762"/>
      <c r="L130" s="453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26">
        <f>'Org structure'!E127</f>
        <v>0</v>
      </c>
      <c r="B131" s="452"/>
      <c r="C131" s="758"/>
      <c r="D131" s="759"/>
      <c r="E131" s="760"/>
      <c r="F131" s="761"/>
      <c r="G131" s="760"/>
      <c r="H131" s="761"/>
      <c r="I131" s="45">
        <f t="shared" si="8"/>
        <v>0</v>
      </c>
      <c r="J131" s="334" t="str">
        <f t="shared" si="9"/>
        <v/>
      </c>
      <c r="K131" s="762"/>
      <c r="L131" s="453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26">
        <f>'Org structure'!E128</f>
        <v>0</v>
      </c>
      <c r="B132" s="452"/>
      <c r="C132" s="758"/>
      <c r="D132" s="759"/>
      <c r="E132" s="760"/>
      <c r="F132" s="761"/>
      <c r="G132" s="760"/>
      <c r="H132" s="761"/>
      <c r="I132" s="45">
        <f t="shared" si="8"/>
        <v>0</v>
      </c>
      <c r="J132" s="334" t="str">
        <f t="shared" si="9"/>
        <v/>
      </c>
      <c r="K132" s="762"/>
      <c r="L132" s="453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26">
        <f>'Org structure'!E129</f>
        <v>0</v>
      </c>
      <c r="B133" s="452"/>
      <c r="C133" s="758"/>
      <c r="D133" s="759"/>
      <c r="E133" s="760"/>
      <c r="F133" s="761"/>
      <c r="G133" s="760"/>
      <c r="H133" s="761"/>
      <c r="I133" s="45">
        <f t="shared" si="8"/>
        <v>0</v>
      </c>
      <c r="J133" s="334" t="str">
        <f t="shared" si="9"/>
        <v/>
      </c>
      <c r="K133" s="762"/>
      <c r="L133" s="453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26">
        <f>'Org structure'!E130</f>
        <v>0</v>
      </c>
      <c r="B134" s="452"/>
      <c r="C134" s="758"/>
      <c r="D134" s="759"/>
      <c r="E134" s="760"/>
      <c r="F134" s="761"/>
      <c r="G134" s="760"/>
      <c r="H134" s="761"/>
      <c r="I134" s="45">
        <f t="shared" ref="I134:I197" si="16">G134-H134</f>
        <v>0</v>
      </c>
      <c r="J134" s="334" t="str">
        <f t="shared" ref="J134:J197" si="17">IF(I134=0,"",I134/H134)</f>
        <v/>
      </c>
      <c r="K134" s="762"/>
      <c r="L134" s="453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26">
        <f>'Org structure'!E131</f>
        <v>0</v>
      </c>
      <c r="B135" s="452"/>
      <c r="C135" s="758"/>
      <c r="D135" s="759"/>
      <c r="E135" s="760"/>
      <c r="F135" s="761"/>
      <c r="G135" s="760"/>
      <c r="H135" s="761"/>
      <c r="I135" s="45">
        <f t="shared" si="16"/>
        <v>0</v>
      </c>
      <c r="J135" s="334" t="str">
        <f t="shared" si="17"/>
        <v/>
      </c>
      <c r="K135" s="762"/>
      <c r="L135" s="453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26">
        <f>'Org structure'!E132</f>
        <v>0</v>
      </c>
      <c r="B136" s="452"/>
      <c r="C136" s="758"/>
      <c r="D136" s="759"/>
      <c r="E136" s="760"/>
      <c r="F136" s="761"/>
      <c r="G136" s="760"/>
      <c r="H136" s="761"/>
      <c r="I136" s="45">
        <f t="shared" si="16"/>
        <v>0</v>
      </c>
      <c r="J136" s="334" t="str">
        <f t="shared" si="17"/>
        <v/>
      </c>
      <c r="K136" s="762"/>
      <c r="L136" s="453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26">
        <f>'Org structure'!E133</f>
        <v>0</v>
      </c>
      <c r="B137" s="452"/>
      <c r="C137" s="758"/>
      <c r="D137" s="759"/>
      <c r="E137" s="760"/>
      <c r="F137" s="761"/>
      <c r="G137" s="760"/>
      <c r="H137" s="761"/>
      <c r="I137" s="45">
        <f t="shared" si="16"/>
        <v>0</v>
      </c>
      <c r="J137" s="334" t="str">
        <f t="shared" si="17"/>
        <v/>
      </c>
      <c r="K137" s="762"/>
      <c r="L137" s="453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27" t="str">
        <f>'Org structure'!A14</f>
        <v xml:space="preserve">Vote 13 - </v>
      </c>
      <c r="B138" s="452"/>
      <c r="C138" s="510">
        <f>SUM(C139:C148)</f>
        <v>0</v>
      </c>
      <c r="D138" s="451">
        <f t="shared" ref="D138:K138" si="18">SUM(D139:D148)</f>
        <v>0</v>
      </c>
      <c r="E138" s="448">
        <f t="shared" si="18"/>
        <v>0</v>
      </c>
      <c r="F138" s="450">
        <f t="shared" si="18"/>
        <v>0</v>
      </c>
      <c r="G138" s="448">
        <f t="shared" si="18"/>
        <v>0</v>
      </c>
      <c r="H138" s="450">
        <f t="shared" si="18"/>
        <v>0</v>
      </c>
      <c r="I138" s="45">
        <f t="shared" si="16"/>
        <v>0</v>
      </c>
      <c r="J138" s="334" t="str">
        <f t="shared" si="17"/>
        <v/>
      </c>
      <c r="K138" s="449">
        <f t="shared" si="18"/>
        <v>0</v>
      </c>
      <c r="L138" s="453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26" t="str">
        <f>'Org structure'!E135</f>
        <v>13.1 - [Name of sub-vote]</v>
      </c>
      <c r="B139" s="452"/>
      <c r="C139" s="758"/>
      <c r="D139" s="759"/>
      <c r="E139" s="760"/>
      <c r="F139" s="761"/>
      <c r="G139" s="760"/>
      <c r="H139" s="761"/>
      <c r="I139" s="45">
        <f t="shared" si="16"/>
        <v>0</v>
      </c>
      <c r="J139" s="334" t="str">
        <f t="shared" si="17"/>
        <v/>
      </c>
      <c r="K139" s="762"/>
      <c r="L139" s="453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26">
        <f>'Org structure'!E136</f>
        <v>0</v>
      </c>
      <c r="B140" s="452"/>
      <c r="C140" s="758"/>
      <c r="D140" s="759"/>
      <c r="E140" s="760"/>
      <c r="F140" s="761"/>
      <c r="G140" s="760"/>
      <c r="H140" s="761"/>
      <c r="I140" s="45">
        <f t="shared" si="16"/>
        <v>0</v>
      </c>
      <c r="J140" s="334" t="str">
        <f t="shared" si="17"/>
        <v/>
      </c>
      <c r="K140" s="762"/>
      <c r="L140" s="453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26">
        <f>'Org structure'!E137</f>
        <v>0</v>
      </c>
      <c r="B141" s="452"/>
      <c r="C141" s="758"/>
      <c r="D141" s="759"/>
      <c r="E141" s="760"/>
      <c r="F141" s="761"/>
      <c r="G141" s="760"/>
      <c r="H141" s="761"/>
      <c r="I141" s="45">
        <f t="shared" si="16"/>
        <v>0</v>
      </c>
      <c r="J141" s="334" t="str">
        <f t="shared" si="17"/>
        <v/>
      </c>
      <c r="K141" s="762"/>
      <c r="L141" s="453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26">
        <f>'Org structure'!E138</f>
        <v>0</v>
      </c>
      <c r="B142" s="452"/>
      <c r="C142" s="758"/>
      <c r="D142" s="759"/>
      <c r="E142" s="760"/>
      <c r="F142" s="761"/>
      <c r="G142" s="760"/>
      <c r="H142" s="761"/>
      <c r="I142" s="45">
        <f t="shared" si="16"/>
        <v>0</v>
      </c>
      <c r="J142" s="334" t="str">
        <f t="shared" si="17"/>
        <v/>
      </c>
      <c r="K142" s="762"/>
      <c r="L142" s="453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26">
        <f>'Org structure'!E139</f>
        <v>0</v>
      </c>
      <c r="B143" s="452"/>
      <c r="C143" s="758"/>
      <c r="D143" s="759"/>
      <c r="E143" s="760"/>
      <c r="F143" s="761"/>
      <c r="G143" s="760"/>
      <c r="H143" s="761"/>
      <c r="I143" s="45">
        <f t="shared" si="16"/>
        <v>0</v>
      </c>
      <c r="J143" s="334" t="str">
        <f t="shared" si="17"/>
        <v/>
      </c>
      <c r="K143" s="762"/>
      <c r="L143" s="45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26">
        <f>'Org structure'!E140</f>
        <v>0</v>
      </c>
      <c r="B144" s="452"/>
      <c r="C144" s="758"/>
      <c r="D144" s="759"/>
      <c r="E144" s="760"/>
      <c r="F144" s="761"/>
      <c r="G144" s="760"/>
      <c r="H144" s="761"/>
      <c r="I144" s="45">
        <f t="shared" si="16"/>
        <v>0</v>
      </c>
      <c r="J144" s="334" t="str">
        <f t="shared" si="17"/>
        <v/>
      </c>
      <c r="K144" s="762"/>
      <c r="L144" s="45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26">
        <f>'Org structure'!E141</f>
        <v>0</v>
      </c>
      <c r="B145" s="452"/>
      <c r="C145" s="758"/>
      <c r="D145" s="759"/>
      <c r="E145" s="760"/>
      <c r="F145" s="761"/>
      <c r="G145" s="760"/>
      <c r="H145" s="761"/>
      <c r="I145" s="45">
        <f t="shared" si="16"/>
        <v>0</v>
      </c>
      <c r="J145" s="334" t="str">
        <f t="shared" si="17"/>
        <v/>
      </c>
      <c r="K145" s="762"/>
      <c r="L145" s="45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26">
        <f>'Org structure'!E142</f>
        <v>0</v>
      </c>
      <c r="B146" s="452"/>
      <c r="C146" s="758"/>
      <c r="D146" s="759"/>
      <c r="E146" s="760"/>
      <c r="F146" s="761"/>
      <c r="G146" s="760"/>
      <c r="H146" s="761"/>
      <c r="I146" s="45">
        <f t="shared" si="16"/>
        <v>0</v>
      </c>
      <c r="J146" s="334" t="str">
        <f t="shared" si="17"/>
        <v/>
      </c>
      <c r="K146" s="762"/>
      <c r="L146" s="45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26">
        <f>'Org structure'!E143</f>
        <v>0</v>
      </c>
      <c r="B147" s="452"/>
      <c r="C147" s="758"/>
      <c r="D147" s="759"/>
      <c r="E147" s="760"/>
      <c r="F147" s="761"/>
      <c r="G147" s="760"/>
      <c r="H147" s="761"/>
      <c r="I147" s="45">
        <f t="shared" si="16"/>
        <v>0</v>
      </c>
      <c r="J147" s="334" t="str">
        <f t="shared" si="17"/>
        <v/>
      </c>
      <c r="K147" s="762"/>
      <c r="L147" s="45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26">
        <f>'Org structure'!E144</f>
        <v>0</v>
      </c>
      <c r="B148" s="452"/>
      <c r="C148" s="758"/>
      <c r="D148" s="759"/>
      <c r="E148" s="760"/>
      <c r="F148" s="761"/>
      <c r="G148" s="760"/>
      <c r="H148" s="761"/>
      <c r="I148" s="45">
        <f t="shared" si="16"/>
        <v>0</v>
      </c>
      <c r="J148" s="334" t="str">
        <f t="shared" si="17"/>
        <v/>
      </c>
      <c r="K148" s="762"/>
      <c r="L148" s="45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27" t="str">
        <f>'Org structure'!A15</f>
        <v xml:space="preserve">Vote 14 - </v>
      </c>
      <c r="B149" s="452"/>
      <c r="C149" s="510">
        <f>SUM(C150:C159)</f>
        <v>0</v>
      </c>
      <c r="D149" s="451">
        <f t="shared" ref="D149:K149" si="19">SUM(D150:D159)</f>
        <v>0</v>
      </c>
      <c r="E149" s="448">
        <f t="shared" si="19"/>
        <v>0</v>
      </c>
      <c r="F149" s="450">
        <f t="shared" si="19"/>
        <v>0</v>
      </c>
      <c r="G149" s="448">
        <f t="shared" si="19"/>
        <v>0</v>
      </c>
      <c r="H149" s="450">
        <f t="shared" si="19"/>
        <v>0</v>
      </c>
      <c r="I149" s="45">
        <f t="shared" si="16"/>
        <v>0</v>
      </c>
      <c r="J149" s="334" t="str">
        <f t="shared" si="17"/>
        <v/>
      </c>
      <c r="K149" s="449">
        <f t="shared" si="19"/>
        <v>0</v>
      </c>
      <c r="L149" s="45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26" t="str">
        <f>'Org structure'!E146</f>
        <v>14.1 - [Name of sub-vote]</v>
      </c>
      <c r="B150" s="452"/>
      <c r="C150" s="758"/>
      <c r="D150" s="759"/>
      <c r="E150" s="760"/>
      <c r="F150" s="761"/>
      <c r="G150" s="760"/>
      <c r="H150" s="761"/>
      <c r="I150" s="45">
        <f t="shared" si="16"/>
        <v>0</v>
      </c>
      <c r="J150" s="334" t="str">
        <f t="shared" si="17"/>
        <v/>
      </c>
      <c r="K150" s="762"/>
      <c r="L150" s="45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26">
        <f>'Org structure'!E147</f>
        <v>0</v>
      </c>
      <c r="B151" s="452"/>
      <c r="C151" s="758"/>
      <c r="D151" s="759"/>
      <c r="E151" s="760"/>
      <c r="F151" s="761"/>
      <c r="G151" s="760"/>
      <c r="H151" s="761"/>
      <c r="I151" s="45">
        <f t="shared" si="16"/>
        <v>0</v>
      </c>
      <c r="J151" s="334" t="str">
        <f t="shared" si="17"/>
        <v/>
      </c>
      <c r="K151" s="762"/>
      <c r="L151" s="45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26">
        <f>'Org structure'!E148</f>
        <v>0</v>
      </c>
      <c r="B152" s="452"/>
      <c r="C152" s="758"/>
      <c r="D152" s="759"/>
      <c r="E152" s="760"/>
      <c r="F152" s="761"/>
      <c r="G152" s="760"/>
      <c r="H152" s="761"/>
      <c r="I152" s="45">
        <f t="shared" si="16"/>
        <v>0</v>
      </c>
      <c r="J152" s="334" t="str">
        <f t="shared" si="17"/>
        <v/>
      </c>
      <c r="K152" s="762"/>
      <c r="L152" s="45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26">
        <f>'Org structure'!E149</f>
        <v>0</v>
      </c>
      <c r="B153" s="452"/>
      <c r="C153" s="758"/>
      <c r="D153" s="759"/>
      <c r="E153" s="760"/>
      <c r="F153" s="761"/>
      <c r="G153" s="760"/>
      <c r="H153" s="761"/>
      <c r="I153" s="45">
        <f t="shared" si="16"/>
        <v>0</v>
      </c>
      <c r="J153" s="334" t="str">
        <f t="shared" si="17"/>
        <v/>
      </c>
      <c r="K153" s="762"/>
      <c r="L153" s="45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26">
        <f>'Org structure'!E150</f>
        <v>0</v>
      </c>
      <c r="B154" s="452"/>
      <c r="C154" s="758"/>
      <c r="D154" s="759"/>
      <c r="E154" s="760"/>
      <c r="F154" s="761"/>
      <c r="G154" s="760"/>
      <c r="H154" s="761"/>
      <c r="I154" s="45">
        <f t="shared" si="16"/>
        <v>0</v>
      </c>
      <c r="J154" s="334" t="str">
        <f t="shared" si="17"/>
        <v/>
      </c>
      <c r="K154" s="762"/>
      <c r="L154" s="45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26">
        <f>'Org structure'!E151</f>
        <v>0</v>
      </c>
      <c r="B155" s="452"/>
      <c r="C155" s="758"/>
      <c r="D155" s="759"/>
      <c r="E155" s="760"/>
      <c r="F155" s="761"/>
      <c r="G155" s="760"/>
      <c r="H155" s="761"/>
      <c r="I155" s="45">
        <f t="shared" si="16"/>
        <v>0</v>
      </c>
      <c r="J155" s="334" t="str">
        <f t="shared" si="17"/>
        <v/>
      </c>
      <c r="K155" s="762"/>
      <c r="L155" s="45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26">
        <f>'Org structure'!E152</f>
        <v>0</v>
      </c>
      <c r="B156" s="452"/>
      <c r="C156" s="758"/>
      <c r="D156" s="759"/>
      <c r="E156" s="760"/>
      <c r="F156" s="761"/>
      <c r="G156" s="760"/>
      <c r="H156" s="761"/>
      <c r="I156" s="45">
        <f t="shared" si="16"/>
        <v>0</v>
      </c>
      <c r="J156" s="334" t="str">
        <f t="shared" si="17"/>
        <v/>
      </c>
      <c r="K156" s="762"/>
      <c r="L156" s="45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26">
        <f>'Org structure'!E153</f>
        <v>0</v>
      </c>
      <c r="B157" s="452"/>
      <c r="C157" s="758"/>
      <c r="D157" s="759"/>
      <c r="E157" s="760"/>
      <c r="F157" s="761"/>
      <c r="G157" s="760"/>
      <c r="H157" s="761"/>
      <c r="I157" s="45">
        <f t="shared" si="16"/>
        <v>0</v>
      </c>
      <c r="J157" s="334" t="str">
        <f t="shared" si="17"/>
        <v/>
      </c>
      <c r="K157" s="762"/>
      <c r="L157" s="45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26">
        <f>'Org structure'!E154</f>
        <v>0</v>
      </c>
      <c r="B158" s="452"/>
      <c r="C158" s="758"/>
      <c r="D158" s="759"/>
      <c r="E158" s="760"/>
      <c r="F158" s="761"/>
      <c r="G158" s="760"/>
      <c r="H158" s="761"/>
      <c r="I158" s="45">
        <f t="shared" si="16"/>
        <v>0</v>
      </c>
      <c r="J158" s="334" t="str">
        <f t="shared" si="17"/>
        <v/>
      </c>
      <c r="K158" s="762"/>
      <c r="L158" s="45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26">
        <f>'Org structure'!E155</f>
        <v>0</v>
      </c>
      <c r="B159" s="452"/>
      <c r="C159" s="758"/>
      <c r="D159" s="759"/>
      <c r="E159" s="760"/>
      <c r="F159" s="761"/>
      <c r="G159" s="760"/>
      <c r="H159" s="761"/>
      <c r="I159" s="45">
        <f t="shared" si="16"/>
        <v>0</v>
      </c>
      <c r="J159" s="334" t="str">
        <f t="shared" si="17"/>
        <v/>
      </c>
      <c r="K159" s="762"/>
      <c r="L159" s="45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27" t="str">
        <f>'Org structure'!A16</f>
        <v xml:space="preserve">Vote 15 - </v>
      </c>
      <c r="B160" s="452"/>
      <c r="C160" s="510">
        <f>SUM(C161:C170)</f>
        <v>0</v>
      </c>
      <c r="D160" s="451">
        <f t="shared" ref="D160:K160" si="20">SUM(D161:D170)</f>
        <v>0</v>
      </c>
      <c r="E160" s="448">
        <f t="shared" si="20"/>
        <v>0</v>
      </c>
      <c r="F160" s="450">
        <f t="shared" si="20"/>
        <v>0</v>
      </c>
      <c r="G160" s="448">
        <f t="shared" si="20"/>
        <v>0</v>
      </c>
      <c r="H160" s="450">
        <f t="shared" si="20"/>
        <v>0</v>
      </c>
      <c r="I160" s="45">
        <f t="shared" si="16"/>
        <v>0</v>
      </c>
      <c r="J160" s="334" t="str">
        <f t="shared" si="17"/>
        <v/>
      </c>
      <c r="K160" s="449">
        <f t="shared" si="20"/>
        <v>0</v>
      </c>
      <c r="L160" s="45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26" t="str">
        <f>'Org structure'!E157</f>
        <v>15.1 - [Name of sub-vote]</v>
      </c>
      <c r="B161" s="452"/>
      <c r="C161" s="758"/>
      <c r="D161" s="759"/>
      <c r="E161" s="760"/>
      <c r="F161" s="761"/>
      <c r="G161" s="760"/>
      <c r="H161" s="761"/>
      <c r="I161" s="45">
        <f t="shared" si="16"/>
        <v>0</v>
      </c>
      <c r="J161" s="334" t="str">
        <f t="shared" si="17"/>
        <v/>
      </c>
      <c r="K161" s="762"/>
      <c r="L161" s="45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26">
        <f>'Org structure'!E158</f>
        <v>0</v>
      </c>
      <c r="B162" s="452"/>
      <c r="C162" s="758"/>
      <c r="D162" s="759"/>
      <c r="E162" s="760"/>
      <c r="F162" s="761"/>
      <c r="G162" s="760"/>
      <c r="H162" s="761"/>
      <c r="I162" s="45">
        <f t="shared" si="16"/>
        <v>0</v>
      </c>
      <c r="J162" s="334" t="str">
        <f t="shared" si="17"/>
        <v/>
      </c>
      <c r="K162" s="762"/>
      <c r="L162" s="45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26">
        <f>'Org structure'!E159</f>
        <v>0</v>
      </c>
      <c r="B163" s="452"/>
      <c r="C163" s="758"/>
      <c r="D163" s="759"/>
      <c r="E163" s="760"/>
      <c r="F163" s="761"/>
      <c r="G163" s="760"/>
      <c r="H163" s="761"/>
      <c r="I163" s="45">
        <f t="shared" si="16"/>
        <v>0</v>
      </c>
      <c r="J163" s="334" t="str">
        <f t="shared" si="17"/>
        <v/>
      </c>
      <c r="K163" s="762"/>
      <c r="L163" s="45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26">
        <f>'Org structure'!E160</f>
        <v>0</v>
      </c>
      <c r="B164" s="452"/>
      <c r="C164" s="758"/>
      <c r="D164" s="759"/>
      <c r="E164" s="760"/>
      <c r="F164" s="761"/>
      <c r="G164" s="760"/>
      <c r="H164" s="761"/>
      <c r="I164" s="45">
        <f t="shared" si="16"/>
        <v>0</v>
      </c>
      <c r="J164" s="334" t="str">
        <f t="shared" si="17"/>
        <v/>
      </c>
      <c r="K164" s="762"/>
      <c r="L164" s="45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26">
        <f>'Org structure'!E161</f>
        <v>0</v>
      </c>
      <c r="B165" s="452"/>
      <c r="C165" s="758"/>
      <c r="D165" s="759"/>
      <c r="E165" s="760"/>
      <c r="F165" s="761"/>
      <c r="G165" s="760"/>
      <c r="H165" s="761"/>
      <c r="I165" s="45">
        <f t="shared" si="16"/>
        <v>0</v>
      </c>
      <c r="J165" s="334" t="str">
        <f t="shared" si="17"/>
        <v/>
      </c>
      <c r="K165" s="762"/>
      <c r="L165" s="45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26">
        <f>'Org structure'!E162</f>
        <v>0</v>
      </c>
      <c r="B166" s="452"/>
      <c r="C166" s="758"/>
      <c r="D166" s="759"/>
      <c r="E166" s="760"/>
      <c r="F166" s="761"/>
      <c r="G166" s="760"/>
      <c r="H166" s="761"/>
      <c r="I166" s="45">
        <f t="shared" si="16"/>
        <v>0</v>
      </c>
      <c r="J166" s="334" t="str">
        <f t="shared" si="17"/>
        <v/>
      </c>
      <c r="K166" s="762"/>
      <c r="L166" s="45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26">
        <f>'Org structure'!E163</f>
        <v>0</v>
      </c>
      <c r="B167" s="452"/>
      <c r="C167" s="758"/>
      <c r="D167" s="759"/>
      <c r="E167" s="760"/>
      <c r="F167" s="761"/>
      <c r="G167" s="760"/>
      <c r="H167" s="761"/>
      <c r="I167" s="45">
        <f t="shared" si="16"/>
        <v>0</v>
      </c>
      <c r="J167" s="334" t="str">
        <f t="shared" si="17"/>
        <v/>
      </c>
      <c r="K167" s="762"/>
      <c r="L167" s="45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26">
        <f>'Org structure'!E164</f>
        <v>0</v>
      </c>
      <c r="B168" s="452"/>
      <c r="C168" s="758"/>
      <c r="D168" s="759"/>
      <c r="E168" s="760"/>
      <c r="F168" s="761"/>
      <c r="G168" s="760"/>
      <c r="H168" s="761"/>
      <c r="I168" s="45">
        <f t="shared" si="16"/>
        <v>0</v>
      </c>
      <c r="J168" s="334" t="str">
        <f t="shared" si="17"/>
        <v/>
      </c>
      <c r="K168" s="762"/>
      <c r="L168" s="45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26">
        <f>'Org structure'!E165</f>
        <v>0</v>
      </c>
      <c r="B169" s="452"/>
      <c r="C169" s="758"/>
      <c r="D169" s="759"/>
      <c r="E169" s="760"/>
      <c r="F169" s="761"/>
      <c r="G169" s="760"/>
      <c r="H169" s="761"/>
      <c r="I169" s="45">
        <f t="shared" si="16"/>
        <v>0</v>
      </c>
      <c r="J169" s="334" t="str">
        <f t="shared" si="17"/>
        <v/>
      </c>
      <c r="K169" s="762"/>
      <c r="L169" s="45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26">
        <f>'Org structure'!E166</f>
        <v>0</v>
      </c>
      <c r="B170" s="452"/>
      <c r="C170" s="758"/>
      <c r="D170" s="759"/>
      <c r="E170" s="760"/>
      <c r="F170" s="761"/>
      <c r="G170" s="760"/>
      <c r="H170" s="761"/>
      <c r="I170" s="45">
        <f t="shared" si="16"/>
        <v>0</v>
      </c>
      <c r="J170" s="334" t="str">
        <f t="shared" si="17"/>
        <v/>
      </c>
      <c r="K170" s="762"/>
      <c r="L170" s="459">
        <f t="shared" ref="L170:W170" si="21">SUM(L78:L81)</f>
        <v>0</v>
      </c>
      <c r="M170" s="460">
        <f t="shared" si="21"/>
        <v>0</v>
      </c>
      <c r="N170" s="460">
        <f t="shared" si="21"/>
        <v>0</v>
      </c>
      <c r="O170" s="460">
        <f t="shared" si="21"/>
        <v>0</v>
      </c>
      <c r="P170" s="460">
        <f t="shared" si="21"/>
        <v>0</v>
      </c>
      <c r="Q170" s="460">
        <f t="shared" si="21"/>
        <v>0</v>
      </c>
      <c r="R170" s="460">
        <f t="shared" si="21"/>
        <v>0</v>
      </c>
      <c r="S170" s="460">
        <f t="shared" si="21"/>
        <v>0</v>
      </c>
      <c r="T170" s="460">
        <f t="shared" si="21"/>
        <v>0</v>
      </c>
      <c r="U170" s="460">
        <f t="shared" si="21"/>
        <v>0</v>
      </c>
      <c r="V170" s="460">
        <f t="shared" si="21"/>
        <v>0</v>
      </c>
      <c r="W170" s="460">
        <f t="shared" si="21"/>
        <v>0</v>
      </c>
    </row>
    <row r="171" spans="1:23" ht="12.75" customHeight="1">
      <c r="A171" s="454" t="s">
        <v>788</v>
      </c>
      <c r="B171" s="422">
        <v>2</v>
      </c>
      <c r="C171" s="511">
        <f>C6+C17+C28+C39+C50+C61+C72+C83+C94+C105+C116+C127+C138+C149+C160</f>
        <v>0</v>
      </c>
      <c r="D171" s="458">
        <f t="shared" ref="D171:K171" si="22">D6+D17+D28+D39+D50+D61+D72+D83+D94+D105+D116+D127+D138+D149+D160</f>
        <v>1153765478.04</v>
      </c>
      <c r="E171" s="455">
        <f t="shared" si="22"/>
        <v>0</v>
      </c>
      <c r="F171" s="457">
        <f t="shared" si="22"/>
        <v>43464774</v>
      </c>
      <c r="G171" s="455">
        <f t="shared" si="22"/>
        <v>609572852.10000002</v>
      </c>
      <c r="H171" s="457">
        <f t="shared" si="22"/>
        <v>1153765478.04</v>
      </c>
      <c r="I171" s="521">
        <f t="shared" si="16"/>
        <v>-544192625.93999994</v>
      </c>
      <c r="J171" s="522">
        <f t="shared" si="17"/>
        <v>-0.47166658761923302</v>
      </c>
      <c r="K171" s="456">
        <f t="shared" si="22"/>
        <v>1153765478.04</v>
      </c>
      <c r="L171" s="453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>
      <c r="A172" s="461"/>
      <c r="B172" s="462"/>
      <c r="C172" s="512"/>
      <c r="D172" s="466"/>
      <c r="E172" s="463"/>
      <c r="F172" s="465"/>
      <c r="G172" s="463"/>
      <c r="H172" s="465"/>
      <c r="I172" s="116">
        <f t="shared" si="16"/>
        <v>0</v>
      </c>
      <c r="J172" s="134" t="str">
        <f t="shared" si="17"/>
        <v/>
      </c>
      <c r="K172" s="464"/>
      <c r="L172" s="453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>
      <c r="A173" s="467" t="s">
        <v>921</v>
      </c>
      <c r="B173" s="468">
        <v>1</v>
      </c>
      <c r="C173" s="513"/>
      <c r="D173" s="472"/>
      <c r="E173" s="469"/>
      <c r="F173" s="471"/>
      <c r="G173" s="469"/>
      <c r="H173" s="471"/>
      <c r="I173" s="45">
        <f t="shared" si="16"/>
        <v>0</v>
      </c>
      <c r="J173" s="334" t="str">
        <f t="shared" si="17"/>
        <v/>
      </c>
      <c r="K173" s="470"/>
      <c r="L173" s="453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>
      <c r="A174" s="473" t="str">
        <f>'Org structure'!A2</f>
        <v>Vote 1 - Legislative Authority</v>
      </c>
      <c r="B174" s="474"/>
      <c r="C174" s="514">
        <f t="shared" ref="C174:K174" si="23">SUM(C175:C184)</f>
        <v>0</v>
      </c>
      <c r="D174" s="478">
        <f t="shared" si="23"/>
        <v>37787800.577519998</v>
      </c>
      <c r="E174" s="475">
        <f t="shared" si="23"/>
        <v>0</v>
      </c>
      <c r="F174" s="477">
        <f t="shared" si="23"/>
        <v>2142816.7000000002</v>
      </c>
      <c r="G174" s="475">
        <f t="shared" si="23"/>
        <v>17209270.68</v>
      </c>
      <c r="H174" s="477">
        <f t="shared" si="23"/>
        <v>37787800.577519998</v>
      </c>
      <c r="I174" s="45">
        <f t="shared" si="16"/>
        <v>-20578529.897519998</v>
      </c>
      <c r="J174" s="334">
        <f t="shared" si="17"/>
        <v>-0.54458130886194489</v>
      </c>
      <c r="K174" s="476">
        <f t="shared" si="23"/>
        <v>37787800.577519998</v>
      </c>
      <c r="L174" s="453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414" t="str">
        <f>'Org structure'!E3</f>
        <v>1.1 - Office of the Major</v>
      </c>
      <c r="B175" s="452"/>
      <c r="C175" s="763"/>
      <c r="D175" s="764">
        <v>4745886.5405200003</v>
      </c>
      <c r="E175" s="752"/>
      <c r="F175" s="765">
        <v>315230.19</v>
      </c>
      <c r="G175" s="752">
        <f>285549.32+436573.52+390964.18+432487.63+345663.17+566480.64+315230.19</f>
        <v>2772948.65</v>
      </c>
      <c r="H175" s="764">
        <v>4745886.5405200003</v>
      </c>
      <c r="I175" s="45">
        <f t="shared" si="16"/>
        <v>-1972937.8905200004</v>
      </c>
      <c r="J175" s="334">
        <f t="shared" si="17"/>
        <v>-0.41571535132060455</v>
      </c>
      <c r="K175" s="764">
        <v>4745886.5405200003</v>
      </c>
      <c r="L175" s="453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14" t="str">
        <f>'Org structure'!E4</f>
        <v>1.2 - Office of the Speaker</v>
      </c>
      <c r="B176" s="452"/>
      <c r="C176" s="763"/>
      <c r="D176" s="764">
        <v>3606894.057</v>
      </c>
      <c r="E176" s="752"/>
      <c r="F176" s="765">
        <v>116542.09</v>
      </c>
      <c r="G176" s="752">
        <f>137145.82+295985.97-50848.34+143467.37+145053.8+125756.55+116542.09</f>
        <v>913103.25999999989</v>
      </c>
      <c r="H176" s="764">
        <v>3606894.057</v>
      </c>
      <c r="I176" s="45">
        <f t="shared" si="16"/>
        <v>-2693790.7970000003</v>
      </c>
      <c r="J176" s="334">
        <f t="shared" si="17"/>
        <v>-0.74684500138618859</v>
      </c>
      <c r="K176" s="764">
        <v>3606894.057</v>
      </c>
      <c r="L176" s="453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4" t="str">
        <f>'Org structure'!E5</f>
        <v>1.3 - Council General</v>
      </c>
      <c r="B177" s="452"/>
      <c r="C177" s="763"/>
      <c r="D177" s="764">
        <v>20908398.079999998</v>
      </c>
      <c r="E177" s="752"/>
      <c r="F177" s="765">
        <v>1204571.6200000001</v>
      </c>
      <c r="G177" s="752">
        <f>1533122.75+2136260.03+1025417.45+1027098.02+1102389.2+1615591.86+1204571.62</f>
        <v>9644450.9299999997</v>
      </c>
      <c r="H177" s="764">
        <v>20908398.079999998</v>
      </c>
      <c r="I177" s="45">
        <f t="shared" si="16"/>
        <v>-11263947.149999999</v>
      </c>
      <c r="J177" s="334">
        <f t="shared" si="17"/>
        <v>-0.53872836679795988</v>
      </c>
      <c r="K177" s="764">
        <v>20908398.079999998</v>
      </c>
      <c r="L177" s="453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4" t="str">
        <f>'Org structure'!E6</f>
        <v>1.4 - Whippery Office</v>
      </c>
      <c r="B178" s="452"/>
      <c r="C178" s="763"/>
      <c r="D178" s="764">
        <v>576318</v>
      </c>
      <c r="E178" s="752"/>
      <c r="F178" s="765">
        <v>52112.83</v>
      </c>
      <c r="G178" s="752">
        <f>48059.86+48667.47+52112.83</f>
        <v>148840.16</v>
      </c>
      <c r="H178" s="764">
        <v>576318</v>
      </c>
      <c r="I178" s="45">
        <f t="shared" si="16"/>
        <v>-427477.83999999997</v>
      </c>
      <c r="J178" s="334">
        <f t="shared" si="17"/>
        <v>-0.74173952574793767</v>
      </c>
      <c r="K178" s="764">
        <v>576318</v>
      </c>
      <c r="L178" s="453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4" t="str">
        <f>'Org structure'!E7</f>
        <v>1.5 - Gender Equality &amp; Disability</v>
      </c>
      <c r="B179" s="452"/>
      <c r="C179" s="763"/>
      <c r="D179" s="764">
        <v>1825747.9000000001</v>
      </c>
      <c r="E179" s="752"/>
      <c r="F179" s="765">
        <v>0</v>
      </c>
      <c r="G179" s="752">
        <v>2500</v>
      </c>
      <c r="H179" s="764">
        <v>1825747.9000000001</v>
      </c>
      <c r="I179" s="45">
        <f t="shared" si="16"/>
        <v>-1823247.9000000001</v>
      </c>
      <c r="J179" s="334">
        <f t="shared" si="17"/>
        <v>-0.99863069813745919</v>
      </c>
      <c r="K179" s="764">
        <v>1825747.9000000001</v>
      </c>
      <c r="L179" s="453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4" t="str">
        <f>'Org structure'!E8</f>
        <v>1.6 - Speaker</v>
      </c>
      <c r="B180" s="452"/>
      <c r="C180" s="763"/>
      <c r="D180" s="764">
        <v>620023</v>
      </c>
      <c r="E180" s="752"/>
      <c r="F180" s="765">
        <v>68882.37</v>
      </c>
      <c r="G180" s="752">
        <f>65737.9+65644.9+64731.83+61252.7+65338.8+93120.07+68882.37</f>
        <v>484708.57</v>
      </c>
      <c r="H180" s="764">
        <v>620023</v>
      </c>
      <c r="I180" s="45">
        <f t="shared" si="16"/>
        <v>-135314.43</v>
      </c>
      <c r="J180" s="334">
        <f t="shared" si="17"/>
        <v>-0.21824098460863547</v>
      </c>
      <c r="K180" s="764">
        <v>620023</v>
      </c>
      <c r="L180" s="453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4" t="str">
        <f>'Org structure'!E9</f>
        <v>1.7 - Mayoral committee</v>
      </c>
      <c r="B181" s="452"/>
      <c r="C181" s="763"/>
      <c r="D181" s="764">
        <v>4797980</v>
      </c>
      <c r="E181" s="752"/>
      <c r="F181" s="765">
        <v>307323.84000000003</v>
      </c>
      <c r="G181" s="752">
        <f>420155.42+421887.02+418791.34+431469.87+275923.73+401796.96+307323.84</f>
        <v>2677348.1799999997</v>
      </c>
      <c r="H181" s="764">
        <v>4797980</v>
      </c>
      <c r="I181" s="45">
        <f t="shared" si="16"/>
        <v>-2120631.8200000003</v>
      </c>
      <c r="J181" s="334">
        <f t="shared" si="17"/>
        <v>-0.44198429755855595</v>
      </c>
      <c r="K181" s="764">
        <v>4797980</v>
      </c>
      <c r="L181" s="453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4" t="str">
        <f>'Org structure'!E10</f>
        <v>1.8 - Executive Major</v>
      </c>
      <c r="B182" s="452"/>
      <c r="C182" s="763"/>
      <c r="D182" s="764">
        <v>706553</v>
      </c>
      <c r="E182" s="752"/>
      <c r="F182" s="765">
        <v>78153.759999999995</v>
      </c>
      <c r="G182" s="752">
        <f>56514.2+56514.2+56514.2+63869.2+171730.1+82075.27+78153.76</f>
        <v>565370.93000000005</v>
      </c>
      <c r="H182" s="764">
        <v>706553</v>
      </c>
      <c r="I182" s="45">
        <f t="shared" si="16"/>
        <v>-141182.06999999995</v>
      </c>
      <c r="J182" s="334">
        <f t="shared" si="17"/>
        <v>-0.19981808866426148</v>
      </c>
      <c r="K182" s="764">
        <v>706553</v>
      </c>
      <c r="L182" s="453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4">
        <f>'Org structure'!E11</f>
        <v>0</v>
      </c>
      <c r="B183" s="452"/>
      <c r="C183" s="763"/>
      <c r="D183" s="764"/>
      <c r="E183" s="752"/>
      <c r="F183" s="765"/>
      <c r="G183" s="752"/>
      <c r="H183" s="764"/>
      <c r="I183" s="45">
        <f t="shared" si="16"/>
        <v>0</v>
      </c>
      <c r="J183" s="334" t="str">
        <f t="shared" si="17"/>
        <v/>
      </c>
      <c r="K183" s="764"/>
      <c r="L183" s="453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4">
        <f>'Org structure'!E12</f>
        <v>0</v>
      </c>
      <c r="B184" s="452"/>
      <c r="C184" s="763"/>
      <c r="D184" s="764"/>
      <c r="E184" s="752"/>
      <c r="F184" s="765"/>
      <c r="G184" s="752"/>
      <c r="H184" s="764"/>
      <c r="I184" s="45">
        <f t="shared" si="16"/>
        <v>0</v>
      </c>
      <c r="J184" s="334" t="str">
        <f t="shared" si="17"/>
        <v/>
      </c>
      <c r="K184" s="764"/>
      <c r="L184" s="49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</row>
    <row r="185" spans="1:23" ht="11.25" customHeight="1">
      <c r="A185" s="473" t="str">
        <f>'Org structure'!A3</f>
        <v>Vote 2 - Office of the Municipal Manager</v>
      </c>
      <c r="B185" s="447"/>
      <c r="C185" s="510">
        <f>SUM(C186:C195)</f>
        <v>0</v>
      </c>
      <c r="D185" s="451">
        <f>SUM(D186:D195)</f>
        <v>28556727.209999997</v>
      </c>
      <c r="E185" s="448">
        <f t="shared" ref="E185:K185" si="24">SUM(E186:E195)</f>
        <v>0</v>
      </c>
      <c r="F185" s="450">
        <f t="shared" si="24"/>
        <v>1015367.0599999998</v>
      </c>
      <c r="G185" s="448">
        <f t="shared" si="24"/>
        <v>5993101.3500000006</v>
      </c>
      <c r="H185" s="450">
        <f t="shared" si="24"/>
        <v>28556727.209999997</v>
      </c>
      <c r="I185" s="45">
        <f t="shared" si="16"/>
        <v>-22563625.859999996</v>
      </c>
      <c r="J185" s="334">
        <f t="shared" si="17"/>
        <v>-0.79013346641833182</v>
      </c>
      <c r="K185" s="449">
        <f t="shared" si="24"/>
        <v>28556727.209999997</v>
      </c>
      <c r="L185" s="49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</row>
    <row r="186" spans="1:23" ht="11.25" customHeight="1">
      <c r="A186" s="414" t="str">
        <f>'Org structure'!E14</f>
        <v>2.1 - Municipal Manager Administration</v>
      </c>
      <c r="B186" s="452"/>
      <c r="C186" s="763"/>
      <c r="D186" s="764">
        <v>6854230</v>
      </c>
      <c r="E186" s="752"/>
      <c r="F186" s="765">
        <v>328747.71000000002</v>
      </c>
      <c r="G186" s="752">
        <f>245879.24+278068.46+583684.51+629468.43+302211.62+505403.18+328747.71</f>
        <v>2873463.1500000004</v>
      </c>
      <c r="H186" s="764">
        <v>6854230</v>
      </c>
      <c r="I186" s="45">
        <f t="shared" si="16"/>
        <v>-3980766.8499999996</v>
      </c>
      <c r="J186" s="334">
        <f t="shared" si="17"/>
        <v>-0.58077520742665467</v>
      </c>
      <c r="K186" s="764">
        <v>6854230</v>
      </c>
      <c r="L186" s="49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</row>
    <row r="187" spans="1:23" ht="11.25" customHeight="1">
      <c r="A187" s="414" t="str">
        <f>'Org structure'!E15</f>
        <v>2.2 - Information Technology</v>
      </c>
      <c r="B187" s="452"/>
      <c r="C187" s="763"/>
      <c r="D187" s="764">
        <v>9903276.3399999999</v>
      </c>
      <c r="E187" s="752"/>
      <c r="F187" s="765">
        <f>206035.74</f>
        <v>206035.74</v>
      </c>
      <c r="G187" s="752">
        <f>74704.3+152846.32+176083.35+119848.54+250751.12+396814.9+206035.74</f>
        <v>1377084.2699999998</v>
      </c>
      <c r="H187" s="764">
        <v>9903276.3399999999</v>
      </c>
      <c r="I187" s="45">
        <f t="shared" si="16"/>
        <v>-8526192.0700000003</v>
      </c>
      <c r="J187" s="334">
        <f t="shared" si="17"/>
        <v>-0.86094659759842673</v>
      </c>
      <c r="K187" s="764">
        <v>9903276.3399999999</v>
      </c>
      <c r="L187" s="49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</row>
    <row r="188" spans="1:23" ht="11.25" customHeight="1">
      <c r="A188" s="414" t="str">
        <f>'Org structure'!E16</f>
        <v>2.3 - Internal Audit</v>
      </c>
      <c r="B188" s="452"/>
      <c r="C188" s="763"/>
      <c r="D188" s="764">
        <v>4629265.05</v>
      </c>
      <c r="E188" s="752"/>
      <c r="F188" s="765">
        <v>103296.95</v>
      </c>
      <c r="G188" s="752">
        <f>100396.17+84029.22+85446.58+86430.2+108121.32+80399.63+103296.95</f>
        <v>648120.07000000007</v>
      </c>
      <c r="H188" s="764">
        <v>4629265.05</v>
      </c>
      <c r="I188" s="45">
        <f t="shared" si="16"/>
        <v>-3981144.9799999995</v>
      </c>
      <c r="J188" s="334">
        <f t="shared" si="17"/>
        <v>-0.85999503960137247</v>
      </c>
      <c r="K188" s="764">
        <v>4629265.05</v>
      </c>
      <c r="L188" s="49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</row>
    <row r="189" spans="1:23" ht="11.25" customHeight="1">
      <c r="A189" s="414" t="str">
        <f>'Org structure'!E17</f>
        <v>2.4 - Communications</v>
      </c>
      <c r="B189" s="452"/>
      <c r="C189" s="763"/>
      <c r="D189" s="764">
        <v>1453366.45</v>
      </c>
      <c r="E189" s="752"/>
      <c r="F189" s="765">
        <v>248264.21</v>
      </c>
      <c r="G189" s="752">
        <f>3427+84980+24800+248264.21</f>
        <v>361471.20999999996</v>
      </c>
      <c r="H189" s="764">
        <v>1453366.45</v>
      </c>
      <c r="I189" s="45">
        <f t="shared" si="16"/>
        <v>-1091895.24</v>
      </c>
      <c r="J189" s="334">
        <f t="shared" si="17"/>
        <v>-0.75128694487202452</v>
      </c>
      <c r="K189" s="764">
        <v>1453366.45</v>
      </c>
      <c r="L189" s="49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</row>
    <row r="190" spans="1:23" ht="11.25" customHeight="1">
      <c r="A190" s="414" t="str">
        <f>'Org structure'!E18</f>
        <v>2.5 - Risk Management</v>
      </c>
      <c r="B190" s="452"/>
      <c r="C190" s="763"/>
      <c r="D190" s="764">
        <v>2083876.81</v>
      </c>
      <c r="E190" s="752"/>
      <c r="F190" s="765"/>
      <c r="G190" s="752"/>
      <c r="H190" s="764">
        <v>2083876.81</v>
      </c>
      <c r="I190" s="45">
        <f t="shared" si="16"/>
        <v>-2083876.81</v>
      </c>
      <c r="J190" s="334">
        <f t="shared" si="17"/>
        <v>-1</v>
      </c>
      <c r="K190" s="764">
        <v>2083876.81</v>
      </c>
      <c r="L190" s="49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</row>
    <row r="191" spans="1:23" ht="11.25" customHeight="1">
      <c r="A191" s="414" t="str">
        <f>'Org structure'!E19</f>
        <v>2.6 - Security</v>
      </c>
      <c r="B191" s="452"/>
      <c r="C191" s="763"/>
      <c r="D191" s="764">
        <v>2563722.16</v>
      </c>
      <c r="E191" s="752"/>
      <c r="F191" s="765">
        <v>0</v>
      </c>
      <c r="G191" s="752">
        <f>10117+29402.66+35788.75</f>
        <v>75308.41</v>
      </c>
      <c r="H191" s="764">
        <v>2563722.16</v>
      </c>
      <c r="I191" s="45">
        <f t="shared" si="16"/>
        <v>-2488413.75</v>
      </c>
      <c r="J191" s="334">
        <f t="shared" si="17"/>
        <v>-0.97062536214922757</v>
      </c>
      <c r="K191" s="764">
        <v>2563722.16</v>
      </c>
      <c r="L191" s="49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</row>
    <row r="192" spans="1:23" ht="11.25" customHeight="1">
      <c r="A192" s="414" t="str">
        <f>'Org structure'!E20</f>
        <v>2.7 - Municipal Manager</v>
      </c>
      <c r="B192" s="452"/>
      <c r="C192" s="763"/>
      <c r="D192" s="764">
        <v>1068990.3999999999</v>
      </c>
      <c r="E192" s="752"/>
      <c r="F192" s="765">
        <v>129022.45</v>
      </c>
      <c r="G192" s="752">
        <f>89472.32+92369.14+91051.11+27634+96371.52+131733.7+129022.45</f>
        <v>657654.24</v>
      </c>
      <c r="H192" s="764">
        <v>1068990.3999999999</v>
      </c>
      <c r="I192" s="45">
        <f t="shared" si="16"/>
        <v>-411336.15999999992</v>
      </c>
      <c r="J192" s="334">
        <f t="shared" si="17"/>
        <v>-0.38478938632189769</v>
      </c>
      <c r="K192" s="764">
        <v>1068990.3999999999</v>
      </c>
      <c r="L192" s="49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</row>
    <row r="193" spans="1:23" ht="11.25" customHeight="1">
      <c r="A193" s="414">
        <f>'Org structure'!E21</f>
        <v>0</v>
      </c>
      <c r="B193" s="452"/>
      <c r="C193" s="763"/>
      <c r="D193" s="764"/>
      <c r="E193" s="752"/>
      <c r="F193" s="765"/>
      <c r="G193" s="752"/>
      <c r="H193" s="764"/>
      <c r="I193" s="45">
        <f t="shared" si="16"/>
        <v>0</v>
      </c>
      <c r="J193" s="334" t="str">
        <f t="shared" si="17"/>
        <v/>
      </c>
      <c r="K193" s="764"/>
      <c r="L193" s="49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</row>
    <row r="194" spans="1:23" ht="11.25" customHeight="1">
      <c r="A194" s="414">
        <f>'Org structure'!E22</f>
        <v>0</v>
      </c>
      <c r="B194" s="452"/>
      <c r="C194" s="763"/>
      <c r="D194" s="764"/>
      <c r="E194" s="752"/>
      <c r="F194" s="765"/>
      <c r="G194" s="752"/>
      <c r="H194" s="764"/>
      <c r="I194" s="45">
        <f t="shared" si="16"/>
        <v>0</v>
      </c>
      <c r="J194" s="334" t="str">
        <f t="shared" si="17"/>
        <v/>
      </c>
      <c r="K194" s="764"/>
      <c r="L194" s="49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</row>
    <row r="195" spans="1:23" ht="11.25" customHeight="1">
      <c r="A195" s="414">
        <f>'Org structure'!E23</f>
        <v>0</v>
      </c>
      <c r="B195" s="452"/>
      <c r="C195" s="763"/>
      <c r="D195" s="764"/>
      <c r="E195" s="752"/>
      <c r="F195" s="765"/>
      <c r="G195" s="752"/>
      <c r="H195" s="764"/>
      <c r="I195" s="45">
        <f t="shared" si="16"/>
        <v>0</v>
      </c>
      <c r="J195" s="334" t="str">
        <f t="shared" si="17"/>
        <v/>
      </c>
      <c r="K195" s="764"/>
      <c r="L195" s="49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</row>
    <row r="196" spans="1:23" ht="11.25" customHeight="1">
      <c r="A196" s="473" t="str">
        <f>'Org structure'!A4</f>
        <v>Vote 3 - Corporate Services</v>
      </c>
      <c r="B196" s="447"/>
      <c r="C196" s="510">
        <f t="shared" ref="C196:K196" si="25">SUM(C197:C206)</f>
        <v>0</v>
      </c>
      <c r="D196" s="451">
        <f t="shared" si="25"/>
        <v>33581885.149999999</v>
      </c>
      <c r="E196" s="448">
        <f t="shared" si="25"/>
        <v>0</v>
      </c>
      <c r="F196" s="450">
        <f t="shared" si="25"/>
        <v>1610959.4000000001</v>
      </c>
      <c r="G196" s="448">
        <f t="shared" si="25"/>
        <v>11826477.1</v>
      </c>
      <c r="H196" s="450">
        <f t="shared" si="25"/>
        <v>33581885.149999999</v>
      </c>
      <c r="I196" s="45">
        <f t="shared" si="16"/>
        <v>-21755408.049999997</v>
      </c>
      <c r="J196" s="334">
        <f t="shared" si="17"/>
        <v>-0.6478316494986881</v>
      </c>
      <c r="K196" s="449">
        <f t="shared" si="25"/>
        <v>33581885.149999999</v>
      </c>
      <c r="L196" s="49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</row>
    <row r="197" spans="1:23" ht="11.25" customHeight="1">
      <c r="A197" s="414" t="str">
        <f>'Org structure'!E25</f>
        <v>3.1 - Corporate Administration</v>
      </c>
      <c r="B197" s="452"/>
      <c r="C197" s="763"/>
      <c r="D197" s="764">
        <v>13447833</v>
      </c>
      <c r="E197" s="752"/>
      <c r="F197" s="765">
        <v>658219.98</v>
      </c>
      <c r="G197" s="752">
        <f>617093.63+724279.07+670835.2+791908.96+773538.36+802890.49+658219.98</f>
        <v>5038765.6899999995</v>
      </c>
      <c r="H197" s="764">
        <v>13447833</v>
      </c>
      <c r="I197" s="45">
        <f t="shared" si="16"/>
        <v>-8409067.3100000005</v>
      </c>
      <c r="J197" s="334">
        <f t="shared" si="17"/>
        <v>-0.62531021243348284</v>
      </c>
      <c r="K197" s="764">
        <v>13447833</v>
      </c>
      <c r="L197" s="49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</row>
    <row r="198" spans="1:23" ht="11.25" customHeight="1">
      <c r="A198" s="414" t="str">
        <f>'Org structure'!E26</f>
        <v>3.2 - Human Resources</v>
      </c>
      <c r="B198" s="452"/>
      <c r="C198" s="763"/>
      <c r="D198" s="764">
        <v>14033962.925000001</v>
      </c>
      <c r="E198" s="752"/>
      <c r="F198" s="765">
        <v>304224.59000000003</v>
      </c>
      <c r="G198" s="752">
        <f>156951.39+168619.64+461550.51+248364.93+351745.79+1144042.52+304224.59</f>
        <v>2835499.37</v>
      </c>
      <c r="H198" s="764">
        <v>14033962.925000001</v>
      </c>
      <c r="I198" s="45">
        <f t="shared" ref="I198:I261" si="26">G198-H198</f>
        <v>-11198463.555</v>
      </c>
      <c r="J198" s="334">
        <f t="shared" ref="J198:J261" si="27">IF(I198=0,"",I198/H198)</f>
        <v>-0.79795447763732774</v>
      </c>
      <c r="K198" s="764">
        <v>14033962.925000001</v>
      </c>
      <c r="L198" s="49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</row>
    <row r="199" spans="1:23" ht="11.25" customHeight="1">
      <c r="A199" s="414" t="str">
        <f>'Org structure'!E27</f>
        <v>3.3 - Offices &amp; Townhalls</v>
      </c>
      <c r="B199" s="452"/>
      <c r="C199" s="763"/>
      <c r="D199" s="764">
        <v>5352060.7949999999</v>
      </c>
      <c r="E199" s="752"/>
      <c r="F199" s="765">
        <v>593605.63</v>
      </c>
      <c r="G199" s="752">
        <f>491873.08+497150.69+443502.92+485157.1+535064.6+492456.49+593605.63</f>
        <v>3538810.51</v>
      </c>
      <c r="H199" s="764">
        <v>5352060.7949999999</v>
      </c>
      <c r="I199" s="45">
        <f t="shared" si="26"/>
        <v>-1813250.2850000001</v>
      </c>
      <c r="J199" s="334">
        <f t="shared" si="27"/>
        <v>-0.33879478474795616</v>
      </c>
      <c r="K199" s="764">
        <v>5352060.7949999999</v>
      </c>
      <c r="L199" s="49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</row>
    <row r="200" spans="1:23" ht="11.25" customHeight="1">
      <c r="A200" s="414" t="str">
        <f>'Org structure'!E28</f>
        <v>3.4 - Director Corporate</v>
      </c>
      <c r="B200" s="452"/>
      <c r="C200" s="763"/>
      <c r="D200" s="764">
        <v>748028.43</v>
      </c>
      <c r="E200" s="752"/>
      <c r="F200" s="765">
        <v>54909.2</v>
      </c>
      <c r="G200" s="752">
        <f>67768.96+54903.43+61956.13+54927.37+54927.37+64009.07+54909.2</f>
        <v>413401.53</v>
      </c>
      <c r="H200" s="764">
        <v>748028.43</v>
      </c>
      <c r="I200" s="45">
        <f t="shared" si="26"/>
        <v>-334626.90000000002</v>
      </c>
      <c r="J200" s="334">
        <f t="shared" si="27"/>
        <v>-0.44734516307087419</v>
      </c>
      <c r="K200" s="764">
        <v>748028.43</v>
      </c>
      <c r="L200" s="49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</row>
    <row r="201" spans="1:23" ht="11.25" customHeight="1">
      <c r="A201" s="414">
        <f>'Org structure'!E29</f>
        <v>0</v>
      </c>
      <c r="B201" s="452"/>
      <c r="C201" s="401"/>
      <c r="D201" s="390"/>
      <c r="E201" s="391"/>
      <c r="F201" s="479"/>
      <c r="G201" s="391"/>
      <c r="H201" s="390"/>
      <c r="I201" s="45">
        <f t="shared" si="26"/>
        <v>0</v>
      </c>
      <c r="J201" s="334" t="str">
        <f t="shared" si="27"/>
        <v/>
      </c>
      <c r="K201" s="390"/>
      <c r="L201" s="49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</row>
    <row r="202" spans="1:23" ht="11.25" customHeight="1">
      <c r="A202" s="414">
        <f>'Org structure'!E30</f>
        <v>0</v>
      </c>
      <c r="B202" s="452"/>
      <c r="C202" s="401"/>
      <c r="D202" s="390"/>
      <c r="E202" s="391"/>
      <c r="F202" s="479"/>
      <c r="G202" s="391"/>
      <c r="H202" s="390"/>
      <c r="I202" s="45">
        <f t="shared" si="26"/>
        <v>0</v>
      </c>
      <c r="J202" s="334" t="str">
        <f t="shared" si="27"/>
        <v/>
      </c>
      <c r="K202" s="390"/>
      <c r="L202" s="49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</row>
    <row r="203" spans="1:23" ht="11.25" customHeight="1">
      <c r="A203" s="414">
        <f>'Org structure'!E31</f>
        <v>0</v>
      </c>
      <c r="B203" s="452"/>
      <c r="C203" s="401"/>
      <c r="D203" s="390"/>
      <c r="E203" s="391"/>
      <c r="F203" s="479"/>
      <c r="G203" s="391"/>
      <c r="H203" s="390"/>
      <c r="I203" s="45">
        <f t="shared" si="26"/>
        <v>0</v>
      </c>
      <c r="J203" s="334" t="str">
        <f t="shared" si="27"/>
        <v/>
      </c>
      <c r="K203" s="390"/>
      <c r="L203" s="49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</row>
    <row r="204" spans="1:23" ht="11.25" customHeight="1">
      <c r="A204" s="414">
        <f>'Org structure'!E32</f>
        <v>0</v>
      </c>
      <c r="B204" s="452"/>
      <c r="C204" s="401"/>
      <c r="D204" s="390"/>
      <c r="E204" s="391"/>
      <c r="F204" s="479"/>
      <c r="G204" s="391"/>
      <c r="H204" s="390"/>
      <c r="I204" s="45">
        <f t="shared" si="26"/>
        <v>0</v>
      </c>
      <c r="J204" s="334" t="str">
        <f t="shared" si="27"/>
        <v/>
      </c>
      <c r="K204" s="390"/>
      <c r="L204" s="49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</row>
    <row r="205" spans="1:23" ht="11.25" customHeight="1">
      <c r="A205" s="414">
        <f>'Org structure'!E33</f>
        <v>0</v>
      </c>
      <c r="B205" s="452"/>
      <c r="C205" s="401"/>
      <c r="D205" s="390"/>
      <c r="E205" s="391"/>
      <c r="F205" s="479"/>
      <c r="G205" s="391"/>
      <c r="H205" s="390"/>
      <c r="I205" s="45">
        <f t="shared" si="26"/>
        <v>0</v>
      </c>
      <c r="J205" s="334" t="str">
        <f t="shared" si="27"/>
        <v/>
      </c>
      <c r="K205" s="390"/>
      <c r="L205" s="49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</row>
    <row r="206" spans="1:23" ht="11.25" customHeight="1">
      <c r="A206" s="414">
        <f>'Org structure'!E34</f>
        <v>0</v>
      </c>
      <c r="B206" s="452"/>
      <c r="C206" s="401"/>
      <c r="D206" s="390"/>
      <c r="E206" s="391"/>
      <c r="F206" s="479"/>
      <c r="G206" s="391"/>
      <c r="H206" s="390"/>
      <c r="I206" s="45">
        <f t="shared" si="26"/>
        <v>0</v>
      </c>
      <c r="J206" s="334" t="str">
        <f t="shared" si="27"/>
        <v/>
      </c>
      <c r="K206" s="390"/>
      <c r="L206" s="49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</row>
    <row r="207" spans="1:23" ht="11.25" customHeight="1">
      <c r="A207" s="473" t="str">
        <f>'Org structure'!A5</f>
        <v>Vote 4 - Financial Services</v>
      </c>
      <c r="B207" s="447"/>
      <c r="C207" s="510">
        <f t="shared" ref="C207:K207" si="28">SUM(C208:C217)</f>
        <v>0</v>
      </c>
      <c r="D207" s="451">
        <f t="shared" si="28"/>
        <v>340400036.80000007</v>
      </c>
      <c r="E207" s="448">
        <f t="shared" si="28"/>
        <v>0</v>
      </c>
      <c r="F207" s="450">
        <f t="shared" si="28"/>
        <v>19166569.91</v>
      </c>
      <c r="G207" s="448">
        <f t="shared" si="28"/>
        <v>141438190.31</v>
      </c>
      <c r="H207" s="450">
        <f t="shared" si="28"/>
        <v>340400036.80000007</v>
      </c>
      <c r="I207" s="45">
        <f t="shared" si="26"/>
        <v>-198961846.49000007</v>
      </c>
      <c r="J207" s="334">
        <f t="shared" si="27"/>
        <v>-0.58449419794539814</v>
      </c>
      <c r="K207" s="449">
        <f t="shared" si="28"/>
        <v>340400036.80000007</v>
      </c>
      <c r="L207" s="49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</row>
    <row r="208" spans="1:23" ht="11.25" customHeight="1">
      <c r="A208" s="414" t="str">
        <f>'Org structure'!E36</f>
        <v>4.1 - Budget &amp; Reporting</v>
      </c>
      <c r="B208" s="452"/>
      <c r="C208" s="401"/>
      <c r="D208" s="390">
        <v>4133658.6249999995</v>
      </c>
      <c r="E208" s="391"/>
      <c r="F208" s="479">
        <v>388878.75</v>
      </c>
      <c r="G208" s="391">
        <f>299704.38+151322.52+321738.69+375000+432279.31+343833.7+388878.75</f>
        <v>2312757.35</v>
      </c>
      <c r="H208" s="390">
        <v>4133658.6249999995</v>
      </c>
      <c r="I208" s="45">
        <f t="shared" si="26"/>
        <v>-1820901.2749999994</v>
      </c>
      <c r="J208" s="334">
        <f t="shared" si="27"/>
        <v>-0.44050596340669029</v>
      </c>
      <c r="K208" s="390">
        <v>4133658.6249999995</v>
      </c>
      <c r="L208" s="49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</row>
    <row r="209" spans="1:23" ht="11.25" customHeight="1">
      <c r="A209" s="414" t="str">
        <f>'Org structure'!E37</f>
        <v>4.2 - Management</v>
      </c>
      <c r="B209" s="452"/>
      <c r="C209" s="401"/>
      <c r="D209" s="390">
        <v>10209344.783</v>
      </c>
      <c r="E209" s="391"/>
      <c r="F209" s="479">
        <v>9192423.4900000002</v>
      </c>
      <c r="G209" s="391">
        <f>227485.83+1468094.61+2596833.1+2834628.24+441956.79+169500+1325622.25+9192423.49</f>
        <v>18256544.310000002</v>
      </c>
      <c r="H209" s="390">
        <v>10209344.783</v>
      </c>
      <c r="I209" s="45">
        <f t="shared" si="26"/>
        <v>8047199.5270000026</v>
      </c>
      <c r="J209" s="334">
        <f t="shared" si="27"/>
        <v>0.78821899916630556</v>
      </c>
      <c r="K209" s="390">
        <v>10209344.783</v>
      </c>
      <c r="L209" s="49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</row>
    <row r="210" spans="1:23" ht="11.25" customHeight="1">
      <c r="A210" s="414" t="str">
        <f>'Org structure'!E38</f>
        <v>4.3 - Financial Accounting</v>
      </c>
      <c r="B210" s="452"/>
      <c r="C210" s="401"/>
      <c r="D210" s="390">
        <v>97526812.481000006</v>
      </c>
      <c r="E210" s="391"/>
      <c r="F210" s="479">
        <f>511167.69+4142.48+265621.12</f>
        <v>780931.29</v>
      </c>
      <c r="G210" s="391">
        <f>4563085.86+3195521.95+2615230.01+2173681.17+183720+10149544.11+9000+5344819.63+22285+511167.69+4142.48+265621.12</f>
        <v>29037819.020000003</v>
      </c>
      <c r="H210" s="390">
        <v>97526812.481000006</v>
      </c>
      <c r="I210" s="45">
        <f t="shared" si="26"/>
        <v>-68488993.460999995</v>
      </c>
      <c r="J210" s="334">
        <f t="shared" si="27"/>
        <v>-0.70225809414557561</v>
      </c>
      <c r="K210" s="390">
        <v>97526812.481000006</v>
      </c>
      <c r="L210" s="49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</row>
    <row r="211" spans="1:23" ht="11.25" customHeight="1">
      <c r="A211" s="414" t="str">
        <f>'Org structure'!E39</f>
        <v>4.4 - Income</v>
      </c>
      <c r="B211" s="452"/>
      <c r="C211" s="401"/>
      <c r="D211" s="390">
        <v>199074007.19600001</v>
      </c>
      <c r="E211" s="391"/>
      <c r="F211" s="479">
        <v>6722233.7699999996</v>
      </c>
      <c r="G211" s="391">
        <f>2376636.35+2406736.64+6198917+14283303.61+16211191.53+12985211.48+11739064.83+6722233.77</f>
        <v>72923295.209999993</v>
      </c>
      <c r="H211" s="390">
        <v>199074007.19600001</v>
      </c>
      <c r="I211" s="45">
        <f t="shared" si="26"/>
        <v>-126150711.98600002</v>
      </c>
      <c r="J211" s="334">
        <f t="shared" si="27"/>
        <v>-0.6336875103026246</v>
      </c>
      <c r="K211" s="390">
        <v>199074007.19600001</v>
      </c>
      <c r="L211" s="49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</row>
    <row r="212" spans="1:23" ht="11.25" customHeight="1">
      <c r="A212" s="414" t="str">
        <f>'Org structure'!E40</f>
        <v>4.5 - Expenditure</v>
      </c>
      <c r="B212" s="452"/>
      <c r="C212" s="401"/>
      <c r="D212" s="390">
        <v>9092551.938000001</v>
      </c>
      <c r="E212" s="391"/>
      <c r="F212" s="479">
        <v>513949.32</v>
      </c>
      <c r="G212" s="391">
        <f>452529.97+442573.6+640406.28+570326.54+599752.72+821247.11+513949.32</f>
        <v>4040785.54</v>
      </c>
      <c r="H212" s="390">
        <v>9092551.938000001</v>
      </c>
      <c r="I212" s="45">
        <f t="shared" si="26"/>
        <v>-5051766.398000001</v>
      </c>
      <c r="J212" s="334">
        <f t="shared" si="27"/>
        <v>-0.55559390063942693</v>
      </c>
      <c r="K212" s="390">
        <v>9092551.938000001</v>
      </c>
      <c r="L212" s="49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</row>
    <row r="213" spans="1:23" ht="11.25" customHeight="1">
      <c r="A213" s="414" t="str">
        <f>'Org structure'!E41</f>
        <v>4.6 - Revenue Management</v>
      </c>
      <c r="B213" s="452"/>
      <c r="C213" s="401"/>
      <c r="D213" s="390">
        <v>17970354.717</v>
      </c>
      <c r="E213" s="391"/>
      <c r="F213" s="479">
        <v>1519471.16</v>
      </c>
      <c r="G213" s="391">
        <f>994777.38+596793+1299692.54+1970798.1+6146939.01+1373358.32+1519471.16</f>
        <v>13901829.51</v>
      </c>
      <c r="H213" s="390">
        <v>17970354.717</v>
      </c>
      <c r="I213" s="45">
        <f t="shared" si="26"/>
        <v>-4068525.2070000004</v>
      </c>
      <c r="J213" s="334">
        <f t="shared" si="27"/>
        <v>-0.22640205333015298</v>
      </c>
      <c r="K213" s="390">
        <v>17970354.717</v>
      </c>
      <c r="L213" s="49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</row>
    <row r="214" spans="1:23" ht="11.25" customHeight="1">
      <c r="A214" s="414" t="str">
        <f>'Org structure'!E42</f>
        <v>4.7 - Finance Interns</v>
      </c>
      <c r="B214" s="452"/>
      <c r="C214" s="401"/>
      <c r="D214" s="390">
        <v>1500000</v>
      </c>
      <c r="E214" s="391"/>
      <c r="F214" s="479">
        <v>48682.13</v>
      </c>
      <c r="G214" s="391">
        <f>65661.79+70243.64+69482.28+91187.68+88269.28+51416.28+48682.13</f>
        <v>484943.08000000007</v>
      </c>
      <c r="H214" s="390">
        <v>1500000</v>
      </c>
      <c r="I214" s="45">
        <f t="shared" si="26"/>
        <v>-1015056.9199999999</v>
      </c>
      <c r="J214" s="334">
        <f t="shared" si="27"/>
        <v>-0.67670461333333332</v>
      </c>
      <c r="K214" s="390">
        <v>1500000</v>
      </c>
      <c r="L214" s="49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</row>
    <row r="215" spans="1:23" ht="11.25" customHeight="1">
      <c r="A215" s="414" t="str">
        <f>'Org structure'!E43</f>
        <v>4.8 - Chief Financial Officer</v>
      </c>
      <c r="B215" s="452"/>
      <c r="C215" s="401"/>
      <c r="D215" s="390">
        <v>893307.06</v>
      </c>
      <c r="E215" s="391"/>
      <c r="F215" s="479">
        <v>0</v>
      </c>
      <c r="G215" s="391">
        <f>69078.39+83509.43+67381.99+78325.11+181921.37</f>
        <v>480216.29</v>
      </c>
      <c r="H215" s="390">
        <v>893307.06</v>
      </c>
      <c r="I215" s="45">
        <f t="shared" si="26"/>
        <v>-413090.77000000008</v>
      </c>
      <c r="J215" s="334">
        <f t="shared" si="27"/>
        <v>-0.46242864127817379</v>
      </c>
      <c r="K215" s="390">
        <v>893307.06</v>
      </c>
      <c r="L215" s="49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</row>
    <row r="216" spans="1:23" ht="11.25" customHeight="1">
      <c r="A216" s="414">
        <f>'Org structure'!E44</f>
        <v>0</v>
      </c>
      <c r="B216" s="452"/>
      <c r="C216" s="401"/>
      <c r="D216" s="390"/>
      <c r="E216" s="391"/>
      <c r="F216" s="479"/>
      <c r="G216" s="391"/>
      <c r="H216" s="390"/>
      <c r="I216" s="45">
        <f t="shared" si="26"/>
        <v>0</v>
      </c>
      <c r="J216" s="334" t="str">
        <f t="shared" si="27"/>
        <v/>
      </c>
      <c r="K216" s="390"/>
      <c r="L216" s="49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</row>
    <row r="217" spans="1:23" ht="11.25" customHeight="1">
      <c r="A217" s="414">
        <f>'Org structure'!E45</f>
        <v>0</v>
      </c>
      <c r="B217" s="452"/>
      <c r="C217" s="401"/>
      <c r="D217" s="390"/>
      <c r="E217" s="391"/>
      <c r="F217" s="479"/>
      <c r="G217" s="391"/>
      <c r="H217" s="390"/>
      <c r="I217" s="45">
        <f t="shared" si="26"/>
        <v>0</v>
      </c>
      <c r="J217" s="334" t="str">
        <f t="shared" si="27"/>
        <v/>
      </c>
      <c r="K217" s="390"/>
      <c r="L217" s="49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</row>
    <row r="218" spans="1:23" ht="11.25" customHeight="1">
      <c r="A218" s="473" t="str">
        <f>'Org structure'!A6</f>
        <v>Vote 5 - Municipal Infrastructure</v>
      </c>
      <c r="B218" s="447"/>
      <c r="C218" s="510">
        <f t="shared" ref="C218:K218" si="29">SUM(C219:C228)</f>
        <v>0</v>
      </c>
      <c r="D218" s="451">
        <f t="shared" si="29"/>
        <v>432385631.66300005</v>
      </c>
      <c r="E218" s="448">
        <f t="shared" si="29"/>
        <v>0</v>
      </c>
      <c r="F218" s="450">
        <f t="shared" si="29"/>
        <v>19732259.129999999</v>
      </c>
      <c r="G218" s="448">
        <f t="shared" si="29"/>
        <v>277007835.75000006</v>
      </c>
      <c r="H218" s="450">
        <f t="shared" si="29"/>
        <v>432385631.66300005</v>
      </c>
      <c r="I218" s="45">
        <f t="shared" si="26"/>
        <v>-155377795.91299999</v>
      </c>
      <c r="J218" s="334">
        <f t="shared" si="27"/>
        <v>-0.35935004434675788</v>
      </c>
      <c r="K218" s="449">
        <f t="shared" si="29"/>
        <v>432385631.66300005</v>
      </c>
      <c r="L218" s="49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</row>
    <row r="219" spans="1:23" ht="11.25" customHeight="1">
      <c r="A219" s="414" t="str">
        <f>'Org structure'!E47</f>
        <v>5.1 - Vihicle/ Workshop Maintenance</v>
      </c>
      <c r="B219" s="452"/>
      <c r="C219" s="401"/>
      <c r="D219" s="390">
        <v>3453587.5070000002</v>
      </c>
      <c r="E219" s="391"/>
      <c r="F219" s="479">
        <v>101798.12</v>
      </c>
      <c r="G219" s="391">
        <f>108062.47+123455.35+106342.16+115781.98+105656.06+115932.56+101798.12</f>
        <v>777028.70000000007</v>
      </c>
      <c r="H219" s="390">
        <v>3453587.5070000002</v>
      </c>
      <c r="I219" s="45">
        <f t="shared" si="26"/>
        <v>-2676558.807</v>
      </c>
      <c r="J219" s="334">
        <f t="shared" si="27"/>
        <v>-0.77500824912498734</v>
      </c>
      <c r="K219" s="390">
        <v>3453587.5070000002</v>
      </c>
      <c r="L219" s="49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</row>
    <row r="220" spans="1:23" ht="11.25" customHeight="1">
      <c r="A220" s="414" t="str">
        <f>'Org structure'!E48</f>
        <v>5.2 - Electricity</v>
      </c>
      <c r="B220" s="452"/>
      <c r="C220" s="401"/>
      <c r="D220" s="390">
        <v>381852042.88999999</v>
      </c>
      <c r="E220" s="391"/>
      <c r="F220" s="479">
        <f>(-10051411.92+4824561.4+6140350.88)+14901000</f>
        <v>15814500.359999999</v>
      </c>
      <c r="G220" s="391">
        <f>19841901.38+35109848.24+28553040.88+14468518.9-1687700.74+24122807.01+41645259.26+52777535.05+22435106.27+(-10051411.92+4824561.4+6140350.88)+14906000</f>
        <v>253085816.61000004</v>
      </c>
      <c r="H220" s="390">
        <v>381852042.88999999</v>
      </c>
      <c r="I220" s="45">
        <f t="shared" si="26"/>
        <v>-128766226.27999994</v>
      </c>
      <c r="J220" s="334">
        <f t="shared" si="27"/>
        <v>-0.33721497286081981</v>
      </c>
      <c r="K220" s="390">
        <v>381852042.88999999</v>
      </c>
      <c r="L220" s="49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</row>
    <row r="221" spans="1:23" ht="11.25" customHeight="1">
      <c r="A221" s="414" t="str">
        <f>'Org structure'!E49</f>
        <v>5.3 - Adminstration</v>
      </c>
      <c r="B221" s="452"/>
      <c r="C221" s="401"/>
      <c r="D221" s="390">
        <v>5547149.1059999997</v>
      </c>
      <c r="E221" s="391"/>
      <c r="F221" s="479">
        <v>317087.52</v>
      </c>
      <c r="G221" s="391">
        <f>465635.51+511738.44+217286.74+285787.81+418013.76+260382.19+317087.52</f>
        <v>2475931.9700000002</v>
      </c>
      <c r="H221" s="390">
        <v>5547149.1059999997</v>
      </c>
      <c r="I221" s="45">
        <f t="shared" si="26"/>
        <v>-3071217.1359999995</v>
      </c>
      <c r="J221" s="334">
        <f t="shared" si="27"/>
        <v>-0.55365685639819173</v>
      </c>
      <c r="K221" s="390">
        <v>5547149.1059999997</v>
      </c>
      <c r="L221" s="49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</row>
    <row r="222" spans="1:23" ht="11.25" customHeight="1">
      <c r="A222" s="414" t="str">
        <f>'Org structure'!E50</f>
        <v>5.4 - Maluti Water</v>
      </c>
      <c r="B222" s="452"/>
      <c r="C222" s="401"/>
      <c r="D222" s="390"/>
      <c r="E222" s="391"/>
      <c r="F222" s="479"/>
      <c r="G222" s="391"/>
      <c r="H222" s="390"/>
      <c r="I222" s="45">
        <f t="shared" si="26"/>
        <v>0</v>
      </c>
      <c r="J222" s="334" t="str">
        <f t="shared" si="27"/>
        <v/>
      </c>
      <c r="K222" s="390"/>
      <c r="L222" s="49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</row>
    <row r="223" spans="1:23" ht="11.25" customHeight="1">
      <c r="A223" s="414" t="str">
        <f>'Org structure'!E51</f>
        <v>5.5 - PMU</v>
      </c>
      <c r="B223" s="452"/>
      <c r="C223" s="401"/>
      <c r="D223" s="390"/>
      <c r="E223" s="391"/>
      <c r="F223" s="479"/>
      <c r="G223" s="391"/>
      <c r="H223" s="390"/>
      <c r="I223" s="45">
        <f t="shared" si="26"/>
        <v>0</v>
      </c>
      <c r="J223" s="334" t="str">
        <f t="shared" si="27"/>
        <v/>
      </c>
      <c r="K223" s="390"/>
      <c r="L223" s="49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</row>
    <row r="224" spans="1:23" ht="11.25" customHeight="1">
      <c r="A224" s="414" t="str">
        <f>'Org structure'!E52</f>
        <v>5.6 - Director Municipal Infrastructure</v>
      </c>
      <c r="B224" s="452"/>
      <c r="C224" s="401"/>
      <c r="D224" s="390">
        <v>924630.97</v>
      </c>
      <c r="E224" s="391"/>
      <c r="F224" s="479">
        <v>83405.86</v>
      </c>
      <c r="G224" s="391">
        <f>86989.76+79507.56+79507.56+80491.5+79531.5+79531.5+83405.86</f>
        <v>568965.24</v>
      </c>
      <c r="H224" s="390">
        <v>924630.97</v>
      </c>
      <c r="I224" s="45">
        <f t="shared" si="26"/>
        <v>-355665.73</v>
      </c>
      <c r="J224" s="334">
        <f t="shared" si="27"/>
        <v>-0.38465695130242067</v>
      </c>
      <c r="K224" s="390">
        <v>924630.97</v>
      </c>
      <c r="L224" s="49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</row>
    <row r="225" spans="1:23" ht="11.25" customHeight="1">
      <c r="A225" s="414" t="str">
        <f>'Org structure'!E53</f>
        <v>5.7 - Refuse Removal &amp; Dumping Site</v>
      </c>
      <c r="B225" s="452"/>
      <c r="C225" s="401"/>
      <c r="D225" s="390">
        <v>40608221.189999998</v>
      </c>
      <c r="E225" s="391"/>
      <c r="F225" s="479">
        <v>3415467.27</v>
      </c>
      <c r="G225" s="391">
        <f>2448664.48+2788622.79+2394682.51+2699529.84+3094963.08+3258163.26+3415467.27</f>
        <v>20100093.23</v>
      </c>
      <c r="H225" s="390">
        <v>40608221.189999998</v>
      </c>
      <c r="I225" s="45">
        <f t="shared" si="26"/>
        <v>-20508127.959999997</v>
      </c>
      <c r="J225" s="334">
        <f t="shared" si="27"/>
        <v>-0.50502404092130582</v>
      </c>
      <c r="K225" s="390">
        <v>40608221.189999998</v>
      </c>
      <c r="L225" s="49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</row>
    <row r="226" spans="1:23" ht="11.25" customHeight="1">
      <c r="A226" s="414">
        <f>'Org structure'!E54</f>
        <v>0</v>
      </c>
      <c r="B226" s="452"/>
      <c r="C226" s="401"/>
      <c r="D226" s="390"/>
      <c r="E226" s="391"/>
      <c r="F226" s="479"/>
      <c r="G226" s="391"/>
      <c r="H226" s="390"/>
      <c r="I226" s="45">
        <f t="shared" si="26"/>
        <v>0</v>
      </c>
      <c r="J226" s="334" t="str">
        <f t="shared" si="27"/>
        <v/>
      </c>
      <c r="K226" s="390"/>
      <c r="L226" s="49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</row>
    <row r="227" spans="1:23" ht="11.25" customHeight="1">
      <c r="A227" s="414">
        <f>'Org structure'!E55</f>
        <v>0</v>
      </c>
      <c r="B227" s="452"/>
      <c r="C227" s="401"/>
      <c r="D227" s="390"/>
      <c r="E227" s="391"/>
      <c r="F227" s="479"/>
      <c r="G227" s="391"/>
      <c r="H227" s="390"/>
      <c r="I227" s="45">
        <f t="shared" si="26"/>
        <v>0</v>
      </c>
      <c r="J227" s="334" t="str">
        <f t="shared" si="27"/>
        <v/>
      </c>
      <c r="K227" s="390"/>
      <c r="L227" s="49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</row>
    <row r="228" spans="1:23" ht="11.25" customHeight="1">
      <c r="A228" s="414">
        <f>'Org structure'!E56</f>
        <v>0</v>
      </c>
      <c r="B228" s="452"/>
      <c r="C228" s="401"/>
      <c r="D228" s="390"/>
      <c r="E228" s="391"/>
      <c r="F228" s="479"/>
      <c r="G228" s="391"/>
      <c r="H228" s="390"/>
      <c r="I228" s="45">
        <f t="shared" si="26"/>
        <v>0</v>
      </c>
      <c r="J228" s="334" t="str">
        <f t="shared" si="27"/>
        <v/>
      </c>
      <c r="K228" s="390"/>
      <c r="L228" s="49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</row>
    <row r="229" spans="1:23" ht="11.25" customHeight="1">
      <c r="A229" s="473" t="str">
        <f>'Org structure'!A7</f>
        <v>Vote 6 - Community Services</v>
      </c>
      <c r="B229" s="447"/>
      <c r="C229" s="510">
        <f t="shared" ref="C229:K229" si="30">SUM(C230:C239)</f>
        <v>0</v>
      </c>
      <c r="D229" s="451">
        <f t="shared" si="30"/>
        <v>11326055.839</v>
      </c>
      <c r="E229" s="448">
        <f t="shared" si="30"/>
        <v>0</v>
      </c>
      <c r="F229" s="450">
        <f t="shared" si="30"/>
        <v>513046.05</v>
      </c>
      <c r="G229" s="448">
        <f t="shared" si="30"/>
        <v>3371035.7700000005</v>
      </c>
      <c r="H229" s="450">
        <f t="shared" si="30"/>
        <v>11326055.839</v>
      </c>
      <c r="I229" s="45">
        <f t="shared" si="26"/>
        <v>-7955020.0689999992</v>
      </c>
      <c r="J229" s="334">
        <f t="shared" si="27"/>
        <v>-0.7023645461474578</v>
      </c>
      <c r="K229" s="449">
        <f t="shared" si="30"/>
        <v>11326055.839</v>
      </c>
      <c r="L229" s="49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</row>
    <row r="230" spans="1:23" ht="11.25" customHeight="1">
      <c r="A230" s="414" t="str">
        <f>'Org structure'!E58</f>
        <v>6.1 - Administration</v>
      </c>
      <c r="B230" s="452"/>
      <c r="C230" s="401"/>
      <c r="D230" s="390">
        <v>1832561.0150000001</v>
      </c>
      <c r="E230" s="391"/>
      <c r="F230" s="479">
        <v>17783.13</v>
      </c>
      <c r="G230" s="391">
        <f>26264.08+37566.92+23984.77+36011.67+17783.13</f>
        <v>141610.57</v>
      </c>
      <c r="H230" s="390">
        <v>1832561.0150000001</v>
      </c>
      <c r="I230" s="45">
        <f t="shared" si="26"/>
        <v>-1690950.4450000001</v>
      </c>
      <c r="J230" s="334">
        <f t="shared" si="27"/>
        <v>-0.92272531782522937</v>
      </c>
      <c r="K230" s="390">
        <v>1832561.0150000001</v>
      </c>
      <c r="L230" s="49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</row>
    <row r="231" spans="1:23" ht="11.25" customHeight="1">
      <c r="A231" s="414" t="str">
        <f>'Org structure'!E59</f>
        <v>6.2 - Social Services</v>
      </c>
      <c r="B231" s="452"/>
      <c r="C231" s="401"/>
      <c r="D231" s="390">
        <v>4278600.8370000003</v>
      </c>
      <c r="E231" s="391"/>
      <c r="F231" s="479">
        <v>226560.35</v>
      </c>
      <c r="G231" s="391">
        <f>140770.2+172698.45+161843.74+171770.28+226718.29+169313.64+226560.35</f>
        <v>1269674.9500000002</v>
      </c>
      <c r="H231" s="390">
        <v>4278600.8370000003</v>
      </c>
      <c r="I231" s="45">
        <f t="shared" si="26"/>
        <v>-3008925.8870000001</v>
      </c>
      <c r="J231" s="334">
        <f t="shared" si="27"/>
        <v>-0.70324996456312339</v>
      </c>
      <c r="K231" s="390">
        <v>4278600.8370000003</v>
      </c>
      <c r="L231" s="49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</row>
    <row r="232" spans="1:23" ht="11.25" customHeight="1">
      <c r="A232" s="414" t="str">
        <f>'Org structure'!E60</f>
        <v>6.3 - Libraries</v>
      </c>
      <c r="B232" s="452"/>
      <c r="C232" s="401"/>
      <c r="D232" s="390">
        <v>4450713.017</v>
      </c>
      <c r="E232" s="391"/>
      <c r="F232" s="479">
        <v>189336.87</v>
      </c>
      <c r="G232" s="391">
        <f>172296.19+221695.93+210651.57+187847.24+229906.15+188102.43+189336.87</f>
        <v>1399836.38</v>
      </c>
      <c r="H232" s="390">
        <v>4450713.017</v>
      </c>
      <c r="I232" s="45">
        <f t="shared" si="26"/>
        <v>-3050876.6370000001</v>
      </c>
      <c r="J232" s="334">
        <f t="shared" si="27"/>
        <v>-0.68548042197886783</v>
      </c>
      <c r="K232" s="390">
        <v>4450713.017</v>
      </c>
      <c r="L232" s="49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</row>
    <row r="233" spans="1:23" ht="11.25" customHeight="1">
      <c r="A233" s="414" t="str">
        <f>'Org structure'!E61</f>
        <v>6.4 - Cemetries</v>
      </c>
      <c r="B233" s="452"/>
      <c r="C233" s="401"/>
      <c r="D233" s="390"/>
      <c r="E233" s="391"/>
      <c r="F233" s="479"/>
      <c r="G233" s="391"/>
      <c r="H233" s="390"/>
      <c r="I233" s="45">
        <f t="shared" si="26"/>
        <v>0</v>
      </c>
      <c r="J233" s="334" t="str">
        <f t="shared" si="27"/>
        <v/>
      </c>
      <c r="K233" s="390"/>
      <c r="L233" s="49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</row>
    <row r="234" spans="1:23" ht="11.25" customHeight="1">
      <c r="A234" s="414" t="str">
        <f>'Org structure'!E62</f>
        <v>6.5 - Director Community</v>
      </c>
      <c r="B234" s="452"/>
      <c r="C234" s="401"/>
      <c r="D234" s="390">
        <v>764180.97</v>
      </c>
      <c r="E234" s="391"/>
      <c r="F234" s="479">
        <v>79365.7</v>
      </c>
      <c r="G234" s="391">
        <f>80405.72+79364.03+82613.92+79388.12+79388.17+79388.21+79365.7</f>
        <v>559913.87</v>
      </c>
      <c r="H234" s="390">
        <v>764180.97</v>
      </c>
      <c r="I234" s="45">
        <f t="shared" si="26"/>
        <v>-204267.09999999998</v>
      </c>
      <c r="J234" s="334">
        <f t="shared" si="27"/>
        <v>-0.2673019978500642</v>
      </c>
      <c r="K234" s="390">
        <v>764180.97</v>
      </c>
      <c r="L234" s="49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</row>
    <row r="235" spans="1:23" ht="11.25" customHeight="1">
      <c r="A235" s="414">
        <f>'Org structure'!E63</f>
        <v>0</v>
      </c>
      <c r="B235" s="452"/>
      <c r="C235" s="401"/>
      <c r="D235" s="390"/>
      <c r="E235" s="391"/>
      <c r="F235" s="479"/>
      <c r="G235" s="391"/>
      <c r="H235" s="390"/>
      <c r="I235" s="45">
        <f t="shared" si="26"/>
        <v>0</v>
      </c>
      <c r="J235" s="334" t="str">
        <f t="shared" si="27"/>
        <v/>
      </c>
      <c r="K235" s="390"/>
      <c r="L235" s="49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</row>
    <row r="236" spans="1:23" ht="11.25" customHeight="1">
      <c r="A236" s="414">
        <f>'Org structure'!E64</f>
        <v>0</v>
      </c>
      <c r="B236" s="452"/>
      <c r="C236" s="401"/>
      <c r="D236" s="390"/>
      <c r="E236" s="391"/>
      <c r="F236" s="479"/>
      <c r="G236" s="391"/>
      <c r="H236" s="390"/>
      <c r="I236" s="45">
        <f t="shared" si="26"/>
        <v>0</v>
      </c>
      <c r="J236" s="334" t="str">
        <f t="shared" si="27"/>
        <v/>
      </c>
      <c r="K236" s="390"/>
      <c r="L236" s="49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</row>
    <row r="237" spans="1:23" ht="11.25" customHeight="1">
      <c r="A237" s="414">
        <f>'Org structure'!E65</f>
        <v>0</v>
      </c>
      <c r="B237" s="452"/>
      <c r="C237" s="401"/>
      <c r="D237" s="390"/>
      <c r="E237" s="391"/>
      <c r="F237" s="479"/>
      <c r="G237" s="391"/>
      <c r="H237" s="390"/>
      <c r="I237" s="45">
        <f t="shared" si="26"/>
        <v>0</v>
      </c>
      <c r="J237" s="334" t="str">
        <f t="shared" si="27"/>
        <v/>
      </c>
      <c r="K237" s="390"/>
      <c r="L237" s="49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</row>
    <row r="238" spans="1:23" ht="11.25" customHeight="1">
      <c r="A238" s="414">
        <f>'Org structure'!E66</f>
        <v>0</v>
      </c>
      <c r="B238" s="452"/>
      <c r="C238" s="401"/>
      <c r="D238" s="390"/>
      <c r="E238" s="391"/>
      <c r="F238" s="479"/>
      <c r="G238" s="391"/>
      <c r="H238" s="390"/>
      <c r="I238" s="45">
        <f t="shared" si="26"/>
        <v>0</v>
      </c>
      <c r="J238" s="334" t="str">
        <f t="shared" si="27"/>
        <v/>
      </c>
      <c r="K238" s="390"/>
      <c r="L238" s="49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</row>
    <row r="239" spans="1:23" ht="11.25" customHeight="1">
      <c r="A239" s="414">
        <f>'Org structure'!E67</f>
        <v>0</v>
      </c>
      <c r="B239" s="452"/>
      <c r="C239" s="401"/>
      <c r="D239" s="390"/>
      <c r="E239" s="391"/>
      <c r="F239" s="479"/>
      <c r="G239" s="391"/>
      <c r="H239" s="390"/>
      <c r="I239" s="45">
        <f t="shared" si="26"/>
        <v>0</v>
      </c>
      <c r="J239" s="334" t="str">
        <f t="shared" si="27"/>
        <v/>
      </c>
      <c r="K239" s="390"/>
      <c r="L239" s="49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</row>
    <row r="240" spans="1:23" ht="11.25" customHeight="1">
      <c r="A240" s="473" t="str">
        <f>'Org structure'!A8</f>
        <v>Vote 7 - Public Safety</v>
      </c>
      <c r="B240" s="447"/>
      <c r="C240" s="510">
        <f t="shared" ref="C240:K240" si="31">SUM(C241:C250)</f>
        <v>0</v>
      </c>
      <c r="D240" s="451">
        <f t="shared" si="31"/>
        <v>87775770.481000006</v>
      </c>
      <c r="E240" s="448">
        <f t="shared" si="31"/>
        <v>0</v>
      </c>
      <c r="F240" s="450">
        <f t="shared" si="31"/>
        <v>5815924.9700000007</v>
      </c>
      <c r="G240" s="448">
        <f t="shared" si="31"/>
        <v>46960894.530000009</v>
      </c>
      <c r="H240" s="450">
        <f t="shared" si="31"/>
        <v>87775770.481000006</v>
      </c>
      <c r="I240" s="45">
        <f t="shared" si="26"/>
        <v>-40814875.950999998</v>
      </c>
      <c r="J240" s="334">
        <f t="shared" si="27"/>
        <v>-0.4649902328095748</v>
      </c>
      <c r="K240" s="449">
        <f t="shared" si="31"/>
        <v>87775770.481000006</v>
      </c>
      <c r="L240" s="49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</row>
    <row r="241" spans="1:23" ht="11.25" customHeight="1">
      <c r="A241" s="414" t="str">
        <f>'Org structure'!E69</f>
        <v>7.1 - Disaster Management</v>
      </c>
      <c r="B241" s="452"/>
      <c r="C241" s="401"/>
      <c r="D241" s="390">
        <v>986683.34</v>
      </c>
      <c r="E241" s="391"/>
      <c r="F241" s="479"/>
      <c r="G241" s="391"/>
      <c r="H241" s="390">
        <v>986683.34</v>
      </c>
      <c r="I241" s="45">
        <f t="shared" si="26"/>
        <v>-986683.34</v>
      </c>
      <c r="J241" s="334">
        <f t="shared" si="27"/>
        <v>-1</v>
      </c>
      <c r="K241" s="390">
        <v>986683.34</v>
      </c>
      <c r="L241" s="49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</row>
    <row r="242" spans="1:23" ht="11.25" customHeight="1">
      <c r="A242" s="414" t="str">
        <f>'Org structure'!E70</f>
        <v>7.2 - Traffic Control</v>
      </c>
      <c r="B242" s="452"/>
      <c r="C242" s="401"/>
      <c r="D242" s="390">
        <v>9594074.682</v>
      </c>
      <c r="E242" s="391"/>
      <c r="F242" s="479">
        <v>685286.73</v>
      </c>
      <c r="G242" s="391">
        <f>470026.19+605827.32+558282.15+604349.89+652483.63+697194.82+685286.73</f>
        <v>4273450.7300000004</v>
      </c>
      <c r="H242" s="390">
        <v>9594074.682</v>
      </c>
      <c r="I242" s="45">
        <f t="shared" si="26"/>
        <v>-5320623.9519999996</v>
      </c>
      <c r="J242" s="334">
        <f t="shared" si="27"/>
        <v>-0.55457395615049054</v>
      </c>
      <c r="K242" s="390">
        <v>9594074.682</v>
      </c>
      <c r="L242" s="49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</row>
    <row r="243" spans="1:23" ht="11.25" customHeight="1">
      <c r="A243" s="414" t="str">
        <f>'Org structure'!E71</f>
        <v>7.3 - Fire Protection</v>
      </c>
      <c r="B243" s="452"/>
      <c r="C243" s="401"/>
      <c r="D243" s="390">
        <v>16216495.73</v>
      </c>
      <c r="E243" s="391"/>
      <c r="F243" s="479">
        <v>1411032.96</v>
      </c>
      <c r="G243" s="391">
        <f>1275561.88+1679059.87+1203502.28+1255252.49+1189230.01+1619076.47+1411032.96</f>
        <v>9632715.9600000009</v>
      </c>
      <c r="H243" s="390">
        <v>16216495.73</v>
      </c>
      <c r="I243" s="45">
        <f t="shared" si="26"/>
        <v>-6583779.7699999996</v>
      </c>
      <c r="J243" s="334">
        <f t="shared" si="27"/>
        <v>-0.40599275451478811</v>
      </c>
      <c r="K243" s="390">
        <v>16216495.73</v>
      </c>
      <c r="L243" s="49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</row>
    <row r="244" spans="1:23" ht="11.25" customHeight="1">
      <c r="A244" s="414" t="str">
        <f>'Org structure'!E72</f>
        <v>7.4 - Public Safety &amp; Transport</v>
      </c>
      <c r="B244" s="452"/>
      <c r="C244" s="401"/>
      <c r="D244" s="390">
        <v>13282577.370000001</v>
      </c>
      <c r="E244" s="391"/>
      <c r="F244" s="479">
        <v>887610.16</v>
      </c>
      <c r="G244" s="391">
        <f>452088.99+397324.74+1409620.27+664168.69+877113.57+1578744.77+887610.16</f>
        <v>6266671.1899999995</v>
      </c>
      <c r="H244" s="390">
        <v>13282577.370000001</v>
      </c>
      <c r="I244" s="45">
        <f t="shared" si="26"/>
        <v>-7015906.1800000016</v>
      </c>
      <c r="J244" s="334">
        <f t="shared" si="27"/>
        <v>-0.52820367497697485</v>
      </c>
      <c r="K244" s="390">
        <v>13282577.370000001</v>
      </c>
      <c r="L244" s="49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</row>
    <row r="245" spans="1:23" ht="11.25" customHeight="1">
      <c r="A245" s="414" t="str">
        <f>'Org structure'!E73</f>
        <v>7.5 - Security Guards</v>
      </c>
      <c r="B245" s="452"/>
      <c r="C245" s="401"/>
      <c r="D245" s="390">
        <v>2116225.8489999999</v>
      </c>
      <c r="E245" s="391"/>
      <c r="F245" s="479">
        <v>355440.83</v>
      </c>
      <c r="G245" s="391">
        <f>361585.44+598905.21+523676.92+754154.8+445308.61+468596.15+355440.83</f>
        <v>3507667.96</v>
      </c>
      <c r="H245" s="390">
        <v>2116225.8489999999</v>
      </c>
      <c r="I245" s="45">
        <f t="shared" si="26"/>
        <v>1391442.111</v>
      </c>
      <c r="J245" s="334">
        <f t="shared" si="27"/>
        <v>0.65751115915038616</v>
      </c>
      <c r="K245" s="390">
        <v>2116225.8489999999</v>
      </c>
      <c r="L245" s="49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</row>
    <row r="246" spans="1:23" ht="11.25" customHeight="1">
      <c r="A246" s="414" t="str">
        <f>'Org structure'!E74</f>
        <v>7.6 - Director Public Safety</v>
      </c>
      <c r="B246" s="452"/>
      <c r="C246" s="401"/>
      <c r="D246" s="390">
        <v>751150.30999999994</v>
      </c>
      <c r="E246" s="391"/>
      <c r="F246" s="479">
        <v>79738.06</v>
      </c>
      <c r="G246" s="391">
        <f>79719.24+79718.42+92705.09+79741.33+79740.99+79740.72+79738.06</f>
        <v>571103.85000000009</v>
      </c>
      <c r="H246" s="390">
        <v>751150.30999999994</v>
      </c>
      <c r="I246" s="45">
        <f t="shared" si="26"/>
        <v>-180046.45999999985</v>
      </c>
      <c r="J246" s="334">
        <f t="shared" si="27"/>
        <v>-0.23969431630801014</v>
      </c>
      <c r="K246" s="390">
        <v>751150.30999999994</v>
      </c>
      <c r="L246" s="49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</row>
    <row r="247" spans="1:23" ht="11.25" customHeight="1">
      <c r="A247" s="414" t="str">
        <f>'Org structure'!E75</f>
        <v>7.7 - Roads and stormwater</v>
      </c>
      <c r="B247" s="452"/>
      <c r="C247" s="401"/>
      <c r="D247" s="390">
        <v>44828563.200000003</v>
      </c>
      <c r="E247" s="391"/>
      <c r="F247" s="479">
        <v>2396816.23</v>
      </c>
      <c r="G247" s="391">
        <f>797820.87+6263842.1+6385179.51+2123586.14+2775947.58+1966092.41+2396816.23</f>
        <v>22709284.840000004</v>
      </c>
      <c r="H247" s="390">
        <v>44828563.200000003</v>
      </c>
      <c r="I247" s="45">
        <f t="shared" si="26"/>
        <v>-22119278.359999999</v>
      </c>
      <c r="J247" s="334">
        <f t="shared" si="27"/>
        <v>-0.49341930191507893</v>
      </c>
      <c r="K247" s="390">
        <v>44828563.200000003</v>
      </c>
      <c r="L247" s="49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</row>
    <row r="248" spans="1:23" ht="11.25" customHeight="1">
      <c r="A248" s="414">
        <f>'Org structure'!E76</f>
        <v>0</v>
      </c>
      <c r="B248" s="452"/>
      <c r="C248" s="401"/>
      <c r="D248" s="390"/>
      <c r="E248" s="391"/>
      <c r="F248" s="479"/>
      <c r="G248" s="391"/>
      <c r="H248" s="390"/>
      <c r="I248" s="45">
        <f t="shared" si="26"/>
        <v>0</v>
      </c>
      <c r="J248" s="334" t="str">
        <f t="shared" si="27"/>
        <v/>
      </c>
      <c r="K248" s="390"/>
      <c r="L248" s="49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</row>
    <row r="249" spans="1:23" ht="11.25" customHeight="1">
      <c r="A249" s="414">
        <f>'Org structure'!E77</f>
        <v>0</v>
      </c>
      <c r="B249" s="452"/>
      <c r="C249" s="401"/>
      <c r="D249" s="390"/>
      <c r="E249" s="391"/>
      <c r="F249" s="479"/>
      <c r="G249" s="391"/>
      <c r="H249" s="390"/>
      <c r="I249" s="45">
        <f t="shared" si="26"/>
        <v>0</v>
      </c>
      <c r="J249" s="334" t="str">
        <f t="shared" si="27"/>
        <v/>
      </c>
      <c r="K249" s="390"/>
      <c r="L249" s="49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</row>
    <row r="250" spans="1:23" ht="11.25" customHeight="1">
      <c r="A250" s="414">
        <f>'Org structure'!E78</f>
        <v>0</v>
      </c>
      <c r="B250" s="452"/>
      <c r="C250" s="401"/>
      <c r="D250" s="390"/>
      <c r="E250" s="391"/>
      <c r="F250" s="479"/>
      <c r="G250" s="391"/>
      <c r="H250" s="390"/>
      <c r="I250" s="45">
        <f t="shared" si="26"/>
        <v>0</v>
      </c>
      <c r="J250" s="334" t="str">
        <f t="shared" si="27"/>
        <v/>
      </c>
      <c r="K250" s="390"/>
      <c r="L250" s="49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</row>
    <row r="251" spans="1:23" ht="11.25" customHeight="1">
      <c r="A251" s="473" t="str">
        <f>'Org structure'!A9</f>
        <v>Vote 8 - Parks, Sports &amp; Recreation</v>
      </c>
      <c r="B251" s="452"/>
      <c r="C251" s="510">
        <f t="shared" ref="C251:K251" si="32">SUM(C252:C261)</f>
        <v>0</v>
      </c>
      <c r="D251" s="451">
        <f t="shared" si="32"/>
        <v>27050201.431999996</v>
      </c>
      <c r="E251" s="448">
        <f t="shared" si="32"/>
        <v>0</v>
      </c>
      <c r="F251" s="450">
        <f t="shared" si="32"/>
        <v>2152869.16</v>
      </c>
      <c r="G251" s="448">
        <f t="shared" si="32"/>
        <v>15308331.459999999</v>
      </c>
      <c r="H251" s="450">
        <f t="shared" si="32"/>
        <v>27050201.431999996</v>
      </c>
      <c r="I251" s="45">
        <f t="shared" si="26"/>
        <v>-11741869.971999997</v>
      </c>
      <c r="J251" s="334">
        <f t="shared" si="27"/>
        <v>-0.43407698835504921</v>
      </c>
      <c r="K251" s="449">
        <f t="shared" si="32"/>
        <v>27050201.431999996</v>
      </c>
      <c r="L251" s="49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</row>
    <row r="252" spans="1:23" ht="11.25" customHeight="1">
      <c r="A252" s="414" t="str">
        <f>'Org structure'!E80</f>
        <v>8.1 - Administration</v>
      </c>
      <c r="B252" s="452"/>
      <c r="C252" s="401"/>
      <c r="D252" s="390">
        <v>26303294.121999998</v>
      </c>
      <c r="E252" s="391"/>
      <c r="F252" s="479">
        <v>2152869.16</v>
      </c>
      <c r="G252" s="391">
        <f>2056094.24+2137261.94+2589173.25+2214933.52+2052804.84+2105194.51+2152869.16</f>
        <v>15308331.459999999</v>
      </c>
      <c r="H252" s="390">
        <v>26303294.121999998</v>
      </c>
      <c r="I252" s="45">
        <f t="shared" si="26"/>
        <v>-10994962.661999999</v>
      </c>
      <c r="J252" s="334">
        <f t="shared" si="27"/>
        <v>-0.41800706067472532</v>
      </c>
      <c r="K252" s="390">
        <v>26303294.121999998</v>
      </c>
      <c r="L252" s="49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</row>
    <row r="253" spans="1:23" ht="11.25" customHeight="1">
      <c r="A253" s="414" t="str">
        <f>'Org structure'!E81</f>
        <v>8.2 - Director Parks</v>
      </c>
      <c r="B253" s="452"/>
      <c r="C253" s="401"/>
      <c r="D253" s="390">
        <v>746907.30999999994</v>
      </c>
      <c r="E253" s="391"/>
      <c r="F253" s="479"/>
      <c r="G253" s="391"/>
      <c r="H253" s="390">
        <v>746907.30999999994</v>
      </c>
      <c r="I253" s="45">
        <f t="shared" si="26"/>
        <v>-746907.30999999994</v>
      </c>
      <c r="J253" s="334">
        <f t="shared" si="27"/>
        <v>-1</v>
      </c>
      <c r="K253" s="390">
        <v>746907.30999999994</v>
      </c>
      <c r="L253" s="49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</row>
    <row r="254" spans="1:23" ht="11.25" customHeight="1">
      <c r="A254" s="414">
        <f>'Org structure'!E82</f>
        <v>0</v>
      </c>
      <c r="B254" s="452"/>
      <c r="C254" s="401"/>
      <c r="D254" s="390"/>
      <c r="E254" s="391"/>
      <c r="F254" s="479"/>
      <c r="G254" s="391"/>
      <c r="H254" s="390"/>
      <c r="I254" s="45">
        <f t="shared" si="26"/>
        <v>0</v>
      </c>
      <c r="J254" s="334" t="str">
        <f t="shared" si="27"/>
        <v/>
      </c>
      <c r="K254" s="390"/>
      <c r="L254" s="49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</row>
    <row r="255" spans="1:23" ht="11.25" customHeight="1">
      <c r="A255" s="414">
        <f>'Org structure'!E83</f>
        <v>0</v>
      </c>
      <c r="B255" s="452"/>
      <c r="C255" s="401"/>
      <c r="D255" s="390"/>
      <c r="E255" s="391"/>
      <c r="F255" s="479"/>
      <c r="G255" s="391"/>
      <c r="H255" s="390"/>
      <c r="I255" s="45">
        <f t="shared" si="26"/>
        <v>0</v>
      </c>
      <c r="J255" s="334" t="str">
        <f t="shared" si="27"/>
        <v/>
      </c>
      <c r="K255" s="390"/>
      <c r="L255" s="49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</row>
    <row r="256" spans="1:23" ht="11.25" customHeight="1">
      <c r="A256" s="414">
        <f>'Org structure'!E84</f>
        <v>0</v>
      </c>
      <c r="B256" s="452"/>
      <c r="C256" s="401"/>
      <c r="D256" s="390"/>
      <c r="E256" s="391"/>
      <c r="F256" s="479"/>
      <c r="G256" s="391"/>
      <c r="H256" s="390"/>
      <c r="I256" s="45">
        <f t="shared" si="26"/>
        <v>0</v>
      </c>
      <c r="J256" s="334" t="str">
        <f t="shared" si="27"/>
        <v/>
      </c>
      <c r="K256" s="390"/>
      <c r="L256" s="49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</row>
    <row r="257" spans="1:23" ht="11.25" customHeight="1">
      <c r="A257" s="414">
        <f>'Org structure'!E85</f>
        <v>0</v>
      </c>
      <c r="B257" s="452"/>
      <c r="C257" s="401"/>
      <c r="D257" s="390"/>
      <c r="E257" s="391"/>
      <c r="F257" s="479"/>
      <c r="G257" s="391"/>
      <c r="H257" s="390"/>
      <c r="I257" s="45">
        <f t="shared" si="26"/>
        <v>0</v>
      </c>
      <c r="J257" s="334" t="str">
        <f t="shared" si="27"/>
        <v/>
      </c>
      <c r="K257" s="390"/>
      <c r="L257" s="49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</row>
    <row r="258" spans="1:23" ht="11.25" customHeight="1">
      <c r="A258" s="414">
        <f>'Org structure'!E86</f>
        <v>0</v>
      </c>
      <c r="B258" s="452"/>
      <c r="C258" s="401"/>
      <c r="D258" s="390"/>
      <c r="E258" s="391"/>
      <c r="F258" s="479"/>
      <c r="G258" s="391"/>
      <c r="H258" s="390"/>
      <c r="I258" s="45">
        <f t="shared" si="26"/>
        <v>0</v>
      </c>
      <c r="J258" s="334" t="str">
        <f t="shared" si="27"/>
        <v/>
      </c>
      <c r="K258" s="390"/>
      <c r="L258" s="49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</row>
    <row r="259" spans="1:23" ht="11.25" customHeight="1">
      <c r="A259" s="414">
        <f>'Org structure'!E87</f>
        <v>0</v>
      </c>
      <c r="B259" s="452"/>
      <c r="C259" s="401"/>
      <c r="D259" s="390"/>
      <c r="E259" s="391"/>
      <c r="F259" s="479"/>
      <c r="G259" s="391"/>
      <c r="H259" s="390"/>
      <c r="I259" s="45">
        <f t="shared" si="26"/>
        <v>0</v>
      </c>
      <c r="J259" s="334" t="str">
        <f t="shared" si="27"/>
        <v/>
      </c>
      <c r="K259" s="390"/>
      <c r="L259" s="49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</row>
    <row r="260" spans="1:23" ht="11.25" customHeight="1">
      <c r="A260" s="414">
        <f>'Org structure'!E88</f>
        <v>0</v>
      </c>
      <c r="B260" s="452"/>
      <c r="C260" s="401"/>
      <c r="D260" s="390"/>
      <c r="E260" s="391"/>
      <c r="F260" s="479"/>
      <c r="G260" s="391"/>
      <c r="H260" s="390"/>
      <c r="I260" s="45">
        <f t="shared" si="26"/>
        <v>0</v>
      </c>
      <c r="J260" s="334" t="str">
        <f t="shared" si="27"/>
        <v/>
      </c>
      <c r="K260" s="390"/>
      <c r="L260" s="49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</row>
    <row r="261" spans="1:23" ht="11.25" customHeight="1">
      <c r="A261" s="414">
        <f>'Org structure'!E89</f>
        <v>0</v>
      </c>
      <c r="B261" s="452"/>
      <c r="C261" s="401"/>
      <c r="D261" s="390"/>
      <c r="E261" s="391"/>
      <c r="F261" s="479"/>
      <c r="G261" s="391"/>
      <c r="H261" s="390"/>
      <c r="I261" s="45">
        <f t="shared" si="26"/>
        <v>0</v>
      </c>
      <c r="J261" s="334" t="str">
        <f t="shared" si="27"/>
        <v/>
      </c>
      <c r="K261" s="390"/>
      <c r="L261" s="49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</row>
    <row r="262" spans="1:23" ht="11.25" customHeight="1">
      <c r="A262" s="473" t="str">
        <f>'Org structure'!A10</f>
        <v>Vote 9 - LED &amp; Tourism</v>
      </c>
      <c r="B262" s="452"/>
      <c r="C262" s="510">
        <f t="shared" ref="C262:K262" si="33">SUM(C263:C272)</f>
        <v>0</v>
      </c>
      <c r="D262" s="451">
        <f t="shared" si="33"/>
        <v>9323242.1699999999</v>
      </c>
      <c r="E262" s="448">
        <f t="shared" si="33"/>
        <v>0</v>
      </c>
      <c r="F262" s="450">
        <f t="shared" si="33"/>
        <v>351609.44999999995</v>
      </c>
      <c r="G262" s="448">
        <f t="shared" si="33"/>
        <v>1438167.24</v>
      </c>
      <c r="H262" s="450">
        <f t="shared" si="33"/>
        <v>9323242.1699999999</v>
      </c>
      <c r="I262" s="45">
        <f t="shared" ref="I262:I325" si="34">G262-H262</f>
        <v>-7885074.9299999997</v>
      </c>
      <c r="J262" s="334">
        <f t="shared" ref="J262:J325" si="35">IF(I262=0,"",I262/H262)</f>
        <v>-0.84574387173727139</v>
      </c>
      <c r="K262" s="449">
        <f t="shared" si="33"/>
        <v>9323242.1699999999</v>
      </c>
      <c r="L262" s="49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</row>
    <row r="263" spans="1:23" ht="11.25" customHeight="1">
      <c r="A263" s="414" t="str">
        <f>'Org structure'!E91</f>
        <v>9.1 - Administration</v>
      </c>
      <c r="B263" s="452"/>
      <c r="C263" s="401"/>
      <c r="D263" s="390">
        <v>2065593.56</v>
      </c>
      <c r="E263" s="391"/>
      <c r="F263" s="479">
        <v>33828.17</v>
      </c>
      <c r="G263" s="391">
        <f>17643.66+19622.8+20782.04+18738.08+20627.57+18738.11+33828.17</f>
        <v>149980.43</v>
      </c>
      <c r="H263" s="390">
        <v>2065593.56</v>
      </c>
      <c r="I263" s="45">
        <f t="shared" si="34"/>
        <v>-1915613.1300000001</v>
      </c>
      <c r="J263" s="334">
        <f t="shared" si="35"/>
        <v>-0.92739112238518018</v>
      </c>
      <c r="K263" s="390">
        <v>2065593.56</v>
      </c>
      <c r="L263" s="49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</row>
    <row r="264" spans="1:23" ht="11.25" customHeight="1">
      <c r="A264" s="414" t="str">
        <f>'Org structure'!E92</f>
        <v>9.2 - Local Economic Development</v>
      </c>
      <c r="B264" s="452"/>
      <c r="C264" s="401"/>
      <c r="D264" s="390">
        <v>3446193.2199999997</v>
      </c>
      <c r="E264" s="391"/>
      <c r="F264" s="479">
        <v>62158.34</v>
      </c>
      <c r="G264" s="391">
        <f>42754.02+83768.04+43391.14+42104.19+38280.08+74798.7+62158.34</f>
        <v>387254.51</v>
      </c>
      <c r="H264" s="390">
        <v>3446193.2199999997</v>
      </c>
      <c r="I264" s="45">
        <f t="shared" si="34"/>
        <v>-3058938.71</v>
      </c>
      <c r="J264" s="334">
        <f t="shared" si="35"/>
        <v>-0.88762832340549969</v>
      </c>
      <c r="K264" s="390">
        <v>3446193.2199999997</v>
      </c>
      <c r="L264" s="49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</row>
    <row r="265" spans="1:23" ht="11.25" customHeight="1">
      <c r="A265" s="414" t="str">
        <f>'Org structure'!E93</f>
        <v>9.3 - Tourism</v>
      </c>
      <c r="B265" s="452"/>
      <c r="C265" s="401"/>
      <c r="D265" s="390">
        <v>2782007.99</v>
      </c>
      <c r="E265" s="391"/>
      <c r="F265" s="479">
        <v>33758.6</v>
      </c>
      <c r="G265" s="391">
        <f>18386.41+20104.3+20023.55+57558.4+67780.82+20728.82+33758.6</f>
        <v>238340.90000000002</v>
      </c>
      <c r="H265" s="390">
        <v>2782007.99</v>
      </c>
      <c r="I265" s="45">
        <f t="shared" si="34"/>
        <v>-2543667.0900000003</v>
      </c>
      <c r="J265" s="334">
        <f t="shared" si="35"/>
        <v>-0.91432774425640673</v>
      </c>
      <c r="K265" s="390">
        <v>2782007.99</v>
      </c>
      <c r="L265" s="49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</row>
    <row r="266" spans="1:23" ht="11.25" customHeight="1">
      <c r="A266" s="414" t="str">
        <f>'Org structure'!E94</f>
        <v>9.4 - Director LED</v>
      </c>
      <c r="B266" s="452"/>
      <c r="C266" s="401"/>
      <c r="D266" s="390">
        <v>1029447.4</v>
      </c>
      <c r="E266" s="391"/>
      <c r="F266" s="479">
        <v>221864.34</v>
      </c>
      <c r="G266" s="391">
        <f>73424.21+73424.21+73424.21+73558.13+73448.15+73448.15+221864.34</f>
        <v>662591.4</v>
      </c>
      <c r="H266" s="390">
        <v>1029447.4</v>
      </c>
      <c r="I266" s="45">
        <f t="shared" si="34"/>
        <v>-366856</v>
      </c>
      <c r="J266" s="334">
        <f t="shared" si="35"/>
        <v>-0.3563620637635298</v>
      </c>
      <c r="K266" s="390">
        <v>1029447.4</v>
      </c>
      <c r="L266" s="49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</row>
    <row r="267" spans="1:23" ht="11.25" customHeight="1">
      <c r="A267" s="414">
        <f>'Org structure'!E95</f>
        <v>0</v>
      </c>
      <c r="B267" s="452"/>
      <c r="C267" s="401"/>
      <c r="D267" s="390"/>
      <c r="E267" s="391"/>
      <c r="F267" s="479"/>
      <c r="G267" s="391"/>
      <c r="H267" s="390"/>
      <c r="I267" s="45">
        <f t="shared" si="34"/>
        <v>0</v>
      </c>
      <c r="J267" s="334" t="str">
        <f t="shared" si="35"/>
        <v/>
      </c>
      <c r="K267" s="390"/>
      <c r="L267" s="49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</row>
    <row r="268" spans="1:23" ht="11.25" customHeight="1">
      <c r="A268" s="414">
        <f>'Org structure'!E96</f>
        <v>0</v>
      </c>
      <c r="B268" s="452"/>
      <c r="C268" s="401"/>
      <c r="D268" s="390"/>
      <c r="E268" s="391"/>
      <c r="F268" s="479"/>
      <c r="G268" s="391"/>
      <c r="H268" s="390"/>
      <c r="I268" s="45">
        <f t="shared" si="34"/>
        <v>0</v>
      </c>
      <c r="J268" s="334" t="str">
        <f t="shared" si="35"/>
        <v/>
      </c>
      <c r="K268" s="390"/>
      <c r="L268" s="49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</row>
    <row r="269" spans="1:23" ht="11.25" customHeight="1">
      <c r="A269" s="414">
        <f>'Org structure'!E97</f>
        <v>0</v>
      </c>
      <c r="B269" s="452"/>
      <c r="C269" s="401"/>
      <c r="D269" s="390"/>
      <c r="E269" s="391"/>
      <c r="F269" s="479"/>
      <c r="G269" s="391"/>
      <c r="H269" s="390"/>
      <c r="I269" s="45">
        <f t="shared" si="34"/>
        <v>0</v>
      </c>
      <c r="J269" s="334" t="str">
        <f t="shared" si="35"/>
        <v/>
      </c>
      <c r="K269" s="390"/>
      <c r="L269" s="49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</row>
    <row r="270" spans="1:23" ht="11.25" customHeight="1">
      <c r="A270" s="414">
        <f>'Org structure'!E98</f>
        <v>0</v>
      </c>
      <c r="B270" s="452"/>
      <c r="C270" s="401"/>
      <c r="D270" s="390"/>
      <c r="E270" s="391"/>
      <c r="F270" s="479"/>
      <c r="G270" s="391"/>
      <c r="H270" s="390"/>
      <c r="I270" s="45">
        <f t="shared" si="34"/>
        <v>0</v>
      </c>
      <c r="J270" s="334" t="str">
        <f t="shared" si="35"/>
        <v/>
      </c>
      <c r="K270" s="390"/>
      <c r="L270" s="49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</row>
    <row r="271" spans="1:23" ht="11.25" customHeight="1">
      <c r="A271" s="414">
        <f>'Org structure'!E99</f>
        <v>0</v>
      </c>
      <c r="B271" s="452"/>
      <c r="C271" s="401"/>
      <c r="D271" s="390"/>
      <c r="E271" s="391"/>
      <c r="F271" s="479"/>
      <c r="G271" s="391"/>
      <c r="H271" s="390"/>
      <c r="I271" s="45">
        <f t="shared" si="34"/>
        <v>0</v>
      </c>
      <c r="J271" s="334" t="str">
        <f t="shared" si="35"/>
        <v/>
      </c>
      <c r="K271" s="390"/>
      <c r="L271" s="49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</row>
    <row r="272" spans="1:23" ht="11.25" customHeight="1">
      <c r="A272" s="414">
        <f>'Org structure'!E100</f>
        <v>0</v>
      </c>
      <c r="B272" s="452"/>
      <c r="C272" s="401"/>
      <c r="D272" s="390"/>
      <c r="E272" s="391"/>
      <c r="F272" s="479"/>
      <c r="G272" s="391"/>
      <c r="H272" s="390"/>
      <c r="I272" s="45">
        <f t="shared" si="34"/>
        <v>0</v>
      </c>
      <c r="J272" s="334" t="str">
        <f t="shared" si="35"/>
        <v/>
      </c>
      <c r="K272" s="390"/>
      <c r="L272" s="49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</row>
    <row r="273" spans="1:23" ht="11.25" customHeight="1">
      <c r="A273" s="473" t="str">
        <f>'Org structure'!A11</f>
        <v>Vote 10 - Housing Spatial Development &amp; Planning</v>
      </c>
      <c r="B273" s="452"/>
      <c r="C273" s="510">
        <f t="shared" ref="C273:K273" si="36">SUM(C274:C283)</f>
        <v>0</v>
      </c>
      <c r="D273" s="451">
        <f t="shared" si="36"/>
        <v>24619415.531000003</v>
      </c>
      <c r="E273" s="448">
        <f t="shared" si="36"/>
        <v>0</v>
      </c>
      <c r="F273" s="450">
        <f t="shared" si="36"/>
        <v>1033286.05</v>
      </c>
      <c r="G273" s="448">
        <f t="shared" si="36"/>
        <v>9084240.7400000002</v>
      </c>
      <c r="H273" s="450">
        <f t="shared" si="36"/>
        <v>24619415.531000003</v>
      </c>
      <c r="I273" s="45">
        <f t="shared" si="34"/>
        <v>-15535174.791000003</v>
      </c>
      <c r="J273" s="334">
        <f t="shared" si="35"/>
        <v>-0.63101314372953299</v>
      </c>
      <c r="K273" s="449">
        <f t="shared" si="36"/>
        <v>24619415.531000003</v>
      </c>
      <c r="L273" s="49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</row>
    <row r="274" spans="1:23" ht="11.25" customHeight="1">
      <c r="A274" s="414" t="str">
        <f>'Org structure'!E102</f>
        <v>10.1 - Housing Services</v>
      </c>
      <c r="B274" s="452"/>
      <c r="C274" s="401"/>
      <c r="D274" s="390">
        <v>3946031.98</v>
      </c>
      <c r="E274" s="391"/>
      <c r="F274" s="479">
        <v>187042</v>
      </c>
      <c r="G274" s="391">
        <f>172540.16+173343.32+166848.72+181261.99+179526.89+190068.99+187042</f>
        <v>1250632.0699999998</v>
      </c>
      <c r="H274" s="390">
        <v>3946031.98</v>
      </c>
      <c r="I274" s="45">
        <f t="shared" si="34"/>
        <v>-2695399.91</v>
      </c>
      <c r="J274" s="334">
        <f t="shared" si="35"/>
        <v>-0.68306590612071016</v>
      </c>
      <c r="K274" s="390">
        <v>3946031.98</v>
      </c>
      <c r="L274" s="49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</row>
    <row r="275" spans="1:23" ht="11.25" customHeight="1">
      <c r="A275" s="414" t="str">
        <f>'Org structure'!E103</f>
        <v>10.2 - Council Building &amp; Estates</v>
      </c>
      <c r="B275" s="452"/>
      <c r="C275" s="401"/>
      <c r="D275" s="390">
        <v>4814015.59</v>
      </c>
      <c r="E275" s="391"/>
      <c r="F275" s="479">
        <v>135720.68</v>
      </c>
      <c r="G275" s="391">
        <f>48230.6+147656.53+54144.28+45070.43+61410.88+71762.09+135720.68</f>
        <v>563995.49</v>
      </c>
      <c r="H275" s="390">
        <v>4814015.59</v>
      </c>
      <c r="I275" s="45">
        <f t="shared" si="34"/>
        <v>-4250020.0999999996</v>
      </c>
      <c r="J275" s="334">
        <f t="shared" si="35"/>
        <v>-0.88284302793460623</v>
      </c>
      <c r="K275" s="390">
        <v>4814015.59</v>
      </c>
      <c r="L275" s="49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</row>
    <row r="276" spans="1:23" ht="11.25" customHeight="1">
      <c r="A276" s="414" t="str">
        <f>'Org structure'!E104</f>
        <v>10.3 - Town Planning</v>
      </c>
      <c r="B276" s="452"/>
      <c r="C276" s="401"/>
      <c r="D276" s="390">
        <v>7750288.7139999997</v>
      </c>
      <c r="E276" s="391"/>
      <c r="F276" s="479">
        <f>135992.63+16600</f>
        <v>152592.63</v>
      </c>
      <c r="G276" s="391">
        <f>99749.73+999772.86+754339.07+568912.68+16600+585879.17+16600+242765.14+33200+135992.63+16600</f>
        <v>3470411.2800000003</v>
      </c>
      <c r="H276" s="390">
        <v>7750288.7139999997</v>
      </c>
      <c r="I276" s="45">
        <f t="shared" si="34"/>
        <v>-4279877.4339999994</v>
      </c>
      <c r="J276" s="334">
        <f t="shared" si="35"/>
        <v>-0.55222167740266193</v>
      </c>
      <c r="K276" s="390">
        <v>7750288.7139999997</v>
      </c>
      <c r="L276" s="49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</row>
    <row r="277" spans="1:23" ht="11.25" customHeight="1">
      <c r="A277" s="414" t="str">
        <f>'Org structure'!E105</f>
        <v>10.4 - Building Inspections</v>
      </c>
      <c r="B277" s="452"/>
      <c r="C277" s="401"/>
      <c r="D277" s="390">
        <v>1921195.75</v>
      </c>
      <c r="E277" s="391"/>
      <c r="F277" s="479">
        <v>73359.72</v>
      </c>
      <c r="G277" s="391">
        <f>67519.16+91910.64+72531.53+72603.39+86623.26+72603.45+73359.72</f>
        <v>537151.15</v>
      </c>
      <c r="H277" s="390">
        <v>1921195.75</v>
      </c>
      <c r="I277" s="45">
        <f t="shared" si="34"/>
        <v>-1384044.6</v>
      </c>
      <c r="J277" s="334">
        <f t="shared" si="35"/>
        <v>-0.72040790221402484</v>
      </c>
      <c r="K277" s="390">
        <v>1921195.75</v>
      </c>
      <c r="L277" s="49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</row>
    <row r="278" spans="1:23" ht="11.25" customHeight="1">
      <c r="A278" s="414" t="str">
        <f>'Org structure'!E106</f>
        <v>10.5 - Spartial Planning &amp; Development</v>
      </c>
      <c r="B278" s="452"/>
      <c r="C278" s="401"/>
      <c r="D278" s="390">
        <v>3771886.3389999997</v>
      </c>
      <c r="E278" s="391"/>
      <c r="F278" s="479">
        <v>332268.7</v>
      </c>
      <c r="G278" s="391">
        <f>294600.75+312025.42+317823.59+325240.63+325906.13+303065.03+332268.7</f>
        <v>2210930.25</v>
      </c>
      <c r="H278" s="390">
        <v>3771886.3389999997</v>
      </c>
      <c r="I278" s="45">
        <f t="shared" si="34"/>
        <v>-1560956.0889999997</v>
      </c>
      <c r="J278" s="334">
        <f t="shared" si="35"/>
        <v>-0.41383964115255906</v>
      </c>
      <c r="K278" s="390">
        <v>3771886.3389999997</v>
      </c>
      <c r="L278" s="49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</row>
    <row r="279" spans="1:23" ht="11.25" customHeight="1">
      <c r="A279" s="414" t="str">
        <f>'Org structure'!E107</f>
        <v>10.6 - Administration</v>
      </c>
      <c r="B279" s="452"/>
      <c r="C279" s="401"/>
      <c r="D279" s="390">
        <v>1665230.1680000001</v>
      </c>
      <c r="E279" s="391"/>
      <c r="F279" s="479">
        <v>72889.52</v>
      </c>
      <c r="G279" s="391">
        <f>69365.12+98641.13+73233.18+73821.61+76083.53+75535.63+72889.52</f>
        <v>539569.72</v>
      </c>
      <c r="H279" s="390">
        <v>1665230.1680000001</v>
      </c>
      <c r="I279" s="45">
        <f t="shared" si="34"/>
        <v>-1125660.4480000001</v>
      </c>
      <c r="J279" s="334">
        <f t="shared" si="35"/>
        <v>-0.67597889446835924</v>
      </c>
      <c r="K279" s="390">
        <v>1665230.1680000001</v>
      </c>
      <c r="L279" s="49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</row>
    <row r="280" spans="1:23" ht="11.25" customHeight="1">
      <c r="A280" s="414" t="str">
        <f>'Org structure'!E108</f>
        <v>10.7 - Director Housing</v>
      </c>
      <c r="B280" s="452"/>
      <c r="C280" s="401"/>
      <c r="D280" s="390">
        <v>750766.99</v>
      </c>
      <c r="E280" s="391"/>
      <c r="F280" s="479">
        <v>79412.800000000003</v>
      </c>
      <c r="G280" s="391">
        <f>61276.34+71254.05+64899.71+46691.6+97299.52+94716.76+75412.8</f>
        <v>511550.78</v>
      </c>
      <c r="H280" s="390">
        <v>750766.99</v>
      </c>
      <c r="I280" s="45">
        <f t="shared" si="34"/>
        <v>-239216.20999999996</v>
      </c>
      <c r="J280" s="334">
        <f t="shared" si="35"/>
        <v>-0.31862909955590879</v>
      </c>
      <c r="K280" s="390">
        <v>750766.99</v>
      </c>
      <c r="L280" s="49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</row>
    <row r="281" spans="1:23" ht="11.25" customHeight="1">
      <c r="A281" s="414">
        <f>'Org structure'!E109</f>
        <v>0</v>
      </c>
      <c r="B281" s="452"/>
      <c r="C281" s="401"/>
      <c r="D281" s="390"/>
      <c r="E281" s="391"/>
      <c r="F281" s="479"/>
      <c r="G281" s="391"/>
      <c r="H281" s="390"/>
      <c r="I281" s="45">
        <f t="shared" si="34"/>
        <v>0</v>
      </c>
      <c r="J281" s="334" t="str">
        <f t="shared" si="35"/>
        <v/>
      </c>
      <c r="K281" s="390"/>
      <c r="L281" s="49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</row>
    <row r="282" spans="1:23" ht="11.25" customHeight="1">
      <c r="A282" s="414">
        <f>'Org structure'!E110</f>
        <v>0</v>
      </c>
      <c r="B282" s="452"/>
      <c r="C282" s="401"/>
      <c r="D282" s="390"/>
      <c r="E282" s="391"/>
      <c r="F282" s="479"/>
      <c r="G282" s="391"/>
      <c r="H282" s="390"/>
      <c r="I282" s="45">
        <f t="shared" si="34"/>
        <v>0</v>
      </c>
      <c r="J282" s="334" t="str">
        <f t="shared" si="35"/>
        <v/>
      </c>
      <c r="K282" s="390"/>
      <c r="L282" s="49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</row>
    <row r="283" spans="1:23" ht="11.25" customHeight="1">
      <c r="A283" s="414">
        <f>'Org structure'!E111</f>
        <v>0</v>
      </c>
      <c r="B283" s="452"/>
      <c r="C283" s="401"/>
      <c r="D283" s="390"/>
      <c r="E283" s="391"/>
      <c r="F283" s="479"/>
      <c r="G283" s="391"/>
      <c r="H283" s="390"/>
      <c r="I283" s="45">
        <f t="shared" si="34"/>
        <v>0</v>
      </c>
      <c r="J283" s="334" t="str">
        <f t="shared" si="35"/>
        <v/>
      </c>
      <c r="K283" s="390"/>
      <c r="L283" s="49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</row>
    <row r="284" spans="1:23" ht="11.25" customHeight="1">
      <c r="A284" s="473" t="str">
        <f>'Org structure'!A12</f>
        <v>Vote 11 - Water &amp; Sanitation</v>
      </c>
      <c r="B284" s="452"/>
      <c r="C284" s="510">
        <f t="shared" ref="C284:K284" si="37">SUM(C285:C294)</f>
        <v>0</v>
      </c>
      <c r="D284" s="451">
        <f t="shared" si="37"/>
        <v>0</v>
      </c>
      <c r="E284" s="448">
        <f t="shared" si="37"/>
        <v>0</v>
      </c>
      <c r="F284" s="450">
        <f t="shared" si="37"/>
        <v>0</v>
      </c>
      <c r="G284" s="448">
        <f t="shared" si="37"/>
        <v>0</v>
      </c>
      <c r="H284" s="450">
        <f t="shared" si="37"/>
        <v>0</v>
      </c>
      <c r="I284" s="45">
        <f t="shared" si="34"/>
        <v>0</v>
      </c>
      <c r="J284" s="334" t="str">
        <f t="shared" si="35"/>
        <v/>
      </c>
      <c r="K284" s="449">
        <f t="shared" si="37"/>
        <v>0</v>
      </c>
      <c r="L284" s="49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</row>
    <row r="285" spans="1:23" ht="11.25" customHeight="1">
      <c r="A285" s="414" t="str">
        <f>'Org structure'!E113</f>
        <v>11.1 - Sanitation &amp; Sewerage</v>
      </c>
      <c r="B285" s="452"/>
      <c r="C285" s="401"/>
      <c r="D285" s="390"/>
      <c r="E285" s="391"/>
      <c r="F285" s="479"/>
      <c r="G285" s="391"/>
      <c r="H285" s="479"/>
      <c r="I285" s="45">
        <f t="shared" si="34"/>
        <v>0</v>
      </c>
      <c r="J285" s="334" t="str">
        <f t="shared" si="35"/>
        <v/>
      </c>
      <c r="K285" s="402"/>
      <c r="L285" s="49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</row>
    <row r="286" spans="1:23" ht="11.25" customHeight="1">
      <c r="A286" s="414" t="str">
        <f>'Org structure'!E114</f>
        <v>11.2 - Income received by the Municipality on behalf of the Entity</v>
      </c>
      <c r="B286" s="452"/>
      <c r="C286" s="401"/>
      <c r="D286" s="390"/>
      <c r="E286" s="391"/>
      <c r="F286" s="479"/>
      <c r="G286" s="391"/>
      <c r="H286" s="479"/>
      <c r="I286" s="45">
        <f t="shared" si="34"/>
        <v>0</v>
      </c>
      <c r="J286" s="334" t="str">
        <f t="shared" si="35"/>
        <v/>
      </c>
      <c r="K286" s="402"/>
      <c r="L286" s="49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</row>
    <row r="287" spans="1:23" ht="11.25" customHeight="1">
      <c r="A287" s="414">
        <f>'Org structure'!E115</f>
        <v>0</v>
      </c>
      <c r="B287" s="452"/>
      <c r="C287" s="401"/>
      <c r="D287" s="390"/>
      <c r="E287" s="391"/>
      <c r="F287" s="479"/>
      <c r="G287" s="391"/>
      <c r="H287" s="479"/>
      <c r="I287" s="45">
        <f t="shared" si="34"/>
        <v>0</v>
      </c>
      <c r="J287" s="334" t="str">
        <f t="shared" si="35"/>
        <v/>
      </c>
      <c r="K287" s="402"/>
      <c r="L287" s="49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</row>
    <row r="288" spans="1:23" ht="11.25" customHeight="1">
      <c r="A288" s="414">
        <f>'Org structure'!E116</f>
        <v>0</v>
      </c>
      <c r="B288" s="452"/>
      <c r="C288" s="401"/>
      <c r="D288" s="390"/>
      <c r="E288" s="391"/>
      <c r="F288" s="479"/>
      <c r="G288" s="391"/>
      <c r="H288" s="479"/>
      <c r="I288" s="45">
        <f t="shared" si="34"/>
        <v>0</v>
      </c>
      <c r="J288" s="334" t="str">
        <f t="shared" si="35"/>
        <v/>
      </c>
      <c r="K288" s="402"/>
      <c r="L288" s="49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</row>
    <row r="289" spans="1:23" ht="11.25" customHeight="1">
      <c r="A289" s="414">
        <f>'Org structure'!E117</f>
        <v>0</v>
      </c>
      <c r="B289" s="452"/>
      <c r="C289" s="401"/>
      <c r="D289" s="390"/>
      <c r="E289" s="391"/>
      <c r="F289" s="479"/>
      <c r="G289" s="391"/>
      <c r="H289" s="479"/>
      <c r="I289" s="45">
        <f t="shared" si="34"/>
        <v>0</v>
      </c>
      <c r="J289" s="334" t="str">
        <f t="shared" si="35"/>
        <v/>
      </c>
      <c r="K289" s="402"/>
      <c r="L289" s="49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</row>
    <row r="290" spans="1:23" ht="11.25" customHeight="1">
      <c r="A290" s="414">
        <f>'Org structure'!E118</f>
        <v>0</v>
      </c>
      <c r="B290" s="452"/>
      <c r="C290" s="401"/>
      <c r="D290" s="390"/>
      <c r="E290" s="391"/>
      <c r="F290" s="479"/>
      <c r="G290" s="391"/>
      <c r="H290" s="479"/>
      <c r="I290" s="45">
        <f t="shared" si="34"/>
        <v>0</v>
      </c>
      <c r="J290" s="334" t="str">
        <f t="shared" si="35"/>
        <v/>
      </c>
      <c r="K290" s="402"/>
      <c r="L290" s="49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</row>
    <row r="291" spans="1:23" ht="11.25" customHeight="1">
      <c r="A291" s="414">
        <f>'Org structure'!E119</f>
        <v>0</v>
      </c>
      <c r="B291" s="452"/>
      <c r="C291" s="401"/>
      <c r="D291" s="390"/>
      <c r="E291" s="391"/>
      <c r="F291" s="479"/>
      <c r="G291" s="391"/>
      <c r="H291" s="479"/>
      <c r="I291" s="45">
        <f t="shared" si="34"/>
        <v>0</v>
      </c>
      <c r="J291" s="334" t="str">
        <f t="shared" si="35"/>
        <v/>
      </c>
      <c r="K291" s="402"/>
      <c r="L291" s="49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</row>
    <row r="292" spans="1:23" ht="11.25" customHeight="1">
      <c r="A292" s="414">
        <f>'Org structure'!E120</f>
        <v>0</v>
      </c>
      <c r="B292" s="452"/>
      <c r="C292" s="401"/>
      <c r="D292" s="390"/>
      <c r="E292" s="391"/>
      <c r="F292" s="479"/>
      <c r="G292" s="391"/>
      <c r="H292" s="479"/>
      <c r="I292" s="45">
        <f t="shared" si="34"/>
        <v>0</v>
      </c>
      <c r="J292" s="334" t="str">
        <f t="shared" si="35"/>
        <v/>
      </c>
      <c r="K292" s="402"/>
      <c r="L292" s="49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</row>
    <row r="293" spans="1:23" ht="11.25" customHeight="1">
      <c r="A293" s="414">
        <f>'Org structure'!E121</f>
        <v>0</v>
      </c>
      <c r="B293" s="452"/>
      <c r="C293" s="401"/>
      <c r="D293" s="390"/>
      <c r="E293" s="391"/>
      <c r="F293" s="479"/>
      <c r="G293" s="391"/>
      <c r="H293" s="479"/>
      <c r="I293" s="45">
        <f t="shared" si="34"/>
        <v>0</v>
      </c>
      <c r="J293" s="334" t="str">
        <f t="shared" si="35"/>
        <v/>
      </c>
      <c r="K293" s="402"/>
      <c r="L293" s="49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</row>
    <row r="294" spans="1:23" ht="11.25" customHeight="1">
      <c r="A294" s="414">
        <f>'Org structure'!E122</f>
        <v>0</v>
      </c>
      <c r="B294" s="452"/>
      <c r="C294" s="401"/>
      <c r="D294" s="390"/>
      <c r="E294" s="391"/>
      <c r="F294" s="479"/>
      <c r="G294" s="391"/>
      <c r="H294" s="479"/>
      <c r="I294" s="45">
        <f t="shared" si="34"/>
        <v>0</v>
      </c>
      <c r="J294" s="334" t="str">
        <f t="shared" si="35"/>
        <v/>
      </c>
      <c r="K294" s="402"/>
      <c r="L294" s="49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</row>
    <row r="295" spans="1:23" ht="11.25" customHeight="1">
      <c r="A295" s="473" t="str">
        <f>'Org structure'!A13</f>
        <v>Vote 12 - Water</v>
      </c>
      <c r="B295" s="452"/>
      <c r="C295" s="510">
        <f t="shared" ref="C295:K295" si="38">SUM(C296:C305)</f>
        <v>0</v>
      </c>
      <c r="D295" s="451">
        <f t="shared" si="38"/>
        <v>120341000</v>
      </c>
      <c r="E295" s="448">
        <f t="shared" si="38"/>
        <v>0</v>
      </c>
      <c r="F295" s="450">
        <f t="shared" si="38"/>
        <v>10254775</v>
      </c>
      <c r="G295" s="448">
        <f t="shared" si="38"/>
        <v>69581095</v>
      </c>
      <c r="H295" s="450">
        <f t="shared" si="38"/>
        <v>120341000</v>
      </c>
      <c r="I295" s="45">
        <f t="shared" si="34"/>
        <v>-50759905</v>
      </c>
      <c r="J295" s="334">
        <f t="shared" si="35"/>
        <v>-0.42180059165205541</v>
      </c>
      <c r="K295" s="449">
        <f t="shared" si="38"/>
        <v>120341000</v>
      </c>
      <c r="L295" s="49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</row>
    <row r="296" spans="1:23" ht="11.25" customHeight="1">
      <c r="A296" s="414" t="str">
        <f>'Org structure'!E124</f>
        <v>12.1 - Water</v>
      </c>
      <c r="B296" s="452"/>
      <c r="C296" s="401"/>
      <c r="D296" s="390">
        <v>120341000</v>
      </c>
      <c r="E296" s="391"/>
      <c r="F296" s="479">
        <v>10254775</v>
      </c>
      <c r="G296" s="391">
        <f>8782777+9806383+10049372+9948994+11786585+8953209+10253775</f>
        <v>69581095</v>
      </c>
      <c r="H296" s="390">
        <v>120341000</v>
      </c>
      <c r="I296" s="45">
        <f t="shared" si="34"/>
        <v>-50759905</v>
      </c>
      <c r="J296" s="334">
        <f t="shared" si="35"/>
        <v>-0.42180059165205541</v>
      </c>
      <c r="K296" s="390">
        <v>120341000</v>
      </c>
      <c r="L296" s="49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</row>
    <row r="297" spans="1:23" ht="11.25" customHeight="1">
      <c r="A297" s="414">
        <f>'Org structure'!E125</f>
        <v>0</v>
      </c>
      <c r="B297" s="452"/>
      <c r="C297" s="401"/>
      <c r="D297" s="390"/>
      <c r="E297" s="391"/>
      <c r="F297" s="479"/>
      <c r="G297" s="391"/>
      <c r="H297" s="479"/>
      <c r="I297" s="45">
        <f t="shared" si="34"/>
        <v>0</v>
      </c>
      <c r="J297" s="334" t="str">
        <f t="shared" si="35"/>
        <v/>
      </c>
      <c r="K297" s="402"/>
      <c r="L297" s="49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</row>
    <row r="298" spans="1:23" ht="11.25" customHeight="1">
      <c r="A298" s="414">
        <f>'Org structure'!E126</f>
        <v>0</v>
      </c>
      <c r="B298" s="452"/>
      <c r="C298" s="401"/>
      <c r="D298" s="390"/>
      <c r="E298" s="391"/>
      <c r="F298" s="479"/>
      <c r="G298" s="391"/>
      <c r="H298" s="479"/>
      <c r="I298" s="45">
        <f t="shared" si="34"/>
        <v>0</v>
      </c>
      <c r="J298" s="334" t="str">
        <f t="shared" si="35"/>
        <v/>
      </c>
      <c r="K298" s="402"/>
      <c r="L298" s="49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</row>
    <row r="299" spans="1:23" ht="11.25" customHeight="1">
      <c r="A299" s="414">
        <f>'Org structure'!E127</f>
        <v>0</v>
      </c>
      <c r="B299" s="452"/>
      <c r="C299" s="401"/>
      <c r="D299" s="390"/>
      <c r="E299" s="391"/>
      <c r="F299" s="479"/>
      <c r="G299" s="391"/>
      <c r="H299" s="479"/>
      <c r="I299" s="45">
        <f t="shared" si="34"/>
        <v>0</v>
      </c>
      <c r="J299" s="334" t="str">
        <f t="shared" si="35"/>
        <v/>
      </c>
      <c r="K299" s="402"/>
      <c r="L299" s="49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</row>
    <row r="300" spans="1:23" ht="11.25" customHeight="1">
      <c r="A300" s="414">
        <f>'Org structure'!E128</f>
        <v>0</v>
      </c>
      <c r="B300" s="452"/>
      <c r="C300" s="401"/>
      <c r="D300" s="390"/>
      <c r="E300" s="391"/>
      <c r="F300" s="479"/>
      <c r="G300" s="391"/>
      <c r="H300" s="479"/>
      <c r="I300" s="45">
        <f t="shared" si="34"/>
        <v>0</v>
      </c>
      <c r="J300" s="334" t="str">
        <f t="shared" si="35"/>
        <v/>
      </c>
      <c r="K300" s="402"/>
      <c r="L300" s="49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</row>
    <row r="301" spans="1:23" ht="11.25" customHeight="1">
      <c r="A301" s="414">
        <f>'Org structure'!E129</f>
        <v>0</v>
      </c>
      <c r="B301" s="452"/>
      <c r="C301" s="401"/>
      <c r="D301" s="390"/>
      <c r="E301" s="391"/>
      <c r="F301" s="479"/>
      <c r="G301" s="391"/>
      <c r="H301" s="479"/>
      <c r="I301" s="45">
        <f t="shared" si="34"/>
        <v>0</v>
      </c>
      <c r="J301" s="334" t="str">
        <f t="shared" si="35"/>
        <v/>
      </c>
      <c r="K301" s="402"/>
      <c r="L301" s="49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</row>
    <row r="302" spans="1:23" ht="11.25" customHeight="1">
      <c r="A302" s="414">
        <f>'Org structure'!E130</f>
        <v>0</v>
      </c>
      <c r="B302" s="452"/>
      <c r="C302" s="401"/>
      <c r="D302" s="390"/>
      <c r="E302" s="391"/>
      <c r="F302" s="479"/>
      <c r="G302" s="391"/>
      <c r="H302" s="479"/>
      <c r="I302" s="45">
        <f t="shared" si="34"/>
        <v>0</v>
      </c>
      <c r="J302" s="334" t="str">
        <f t="shared" si="35"/>
        <v/>
      </c>
      <c r="K302" s="402"/>
      <c r="L302" s="49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</row>
    <row r="303" spans="1:23" ht="11.25" customHeight="1">
      <c r="A303" s="414">
        <f>'Org structure'!E131</f>
        <v>0</v>
      </c>
      <c r="B303" s="452"/>
      <c r="C303" s="401"/>
      <c r="D303" s="390"/>
      <c r="E303" s="391"/>
      <c r="F303" s="479"/>
      <c r="G303" s="391"/>
      <c r="H303" s="479"/>
      <c r="I303" s="45">
        <f t="shared" si="34"/>
        <v>0</v>
      </c>
      <c r="J303" s="334" t="str">
        <f t="shared" si="35"/>
        <v/>
      </c>
      <c r="K303" s="402"/>
      <c r="L303" s="49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</row>
    <row r="304" spans="1:23" ht="11.25" customHeight="1">
      <c r="A304" s="414">
        <f>'Org structure'!E132</f>
        <v>0</v>
      </c>
      <c r="B304" s="452"/>
      <c r="C304" s="401"/>
      <c r="D304" s="390"/>
      <c r="E304" s="391"/>
      <c r="F304" s="479"/>
      <c r="G304" s="391"/>
      <c r="H304" s="479"/>
      <c r="I304" s="45">
        <f t="shared" si="34"/>
        <v>0</v>
      </c>
      <c r="J304" s="334" t="str">
        <f t="shared" si="35"/>
        <v/>
      </c>
      <c r="K304" s="402"/>
      <c r="L304" s="49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</row>
    <row r="305" spans="1:23" ht="11.25" customHeight="1">
      <c r="A305" s="414">
        <f>'Org structure'!E133</f>
        <v>0</v>
      </c>
      <c r="B305" s="452"/>
      <c r="C305" s="401"/>
      <c r="D305" s="390"/>
      <c r="E305" s="391"/>
      <c r="F305" s="479"/>
      <c r="G305" s="391"/>
      <c r="H305" s="479"/>
      <c r="I305" s="45">
        <f t="shared" si="34"/>
        <v>0</v>
      </c>
      <c r="J305" s="334" t="str">
        <f t="shared" si="35"/>
        <v/>
      </c>
      <c r="K305" s="402"/>
      <c r="L305" s="49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</row>
    <row r="306" spans="1:23" ht="11.25" customHeight="1">
      <c r="A306" s="473" t="str">
        <f>'Org structure'!A14</f>
        <v xml:space="preserve">Vote 13 - </v>
      </c>
      <c r="B306" s="452"/>
      <c r="C306" s="510">
        <f t="shared" ref="C306:K306" si="39">SUM(C307:C316)</f>
        <v>0</v>
      </c>
      <c r="D306" s="451">
        <f t="shared" si="39"/>
        <v>0</v>
      </c>
      <c r="E306" s="448">
        <f t="shared" si="39"/>
        <v>0</v>
      </c>
      <c r="F306" s="450">
        <f t="shared" si="39"/>
        <v>0</v>
      </c>
      <c r="G306" s="448">
        <f t="shared" si="39"/>
        <v>0</v>
      </c>
      <c r="H306" s="450">
        <f t="shared" si="39"/>
        <v>0</v>
      </c>
      <c r="I306" s="45">
        <f t="shared" si="34"/>
        <v>0</v>
      </c>
      <c r="J306" s="334" t="str">
        <f t="shared" si="35"/>
        <v/>
      </c>
      <c r="K306" s="449">
        <f t="shared" si="39"/>
        <v>0</v>
      </c>
      <c r="L306" s="49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</row>
    <row r="307" spans="1:23" ht="11.25" customHeight="1">
      <c r="A307" s="414" t="str">
        <f>'Org structure'!E135</f>
        <v>13.1 - [Name of sub-vote]</v>
      </c>
      <c r="B307" s="452"/>
      <c r="C307" s="401"/>
      <c r="D307" s="390"/>
      <c r="E307" s="391"/>
      <c r="F307" s="479"/>
      <c r="G307" s="391"/>
      <c r="H307" s="479"/>
      <c r="I307" s="45">
        <f t="shared" si="34"/>
        <v>0</v>
      </c>
      <c r="J307" s="334" t="str">
        <f t="shared" si="35"/>
        <v/>
      </c>
      <c r="K307" s="402"/>
      <c r="L307" s="49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</row>
    <row r="308" spans="1:23" ht="11.25" customHeight="1">
      <c r="A308" s="414">
        <f>'Org structure'!E136</f>
        <v>0</v>
      </c>
      <c r="B308" s="452"/>
      <c r="C308" s="401"/>
      <c r="D308" s="390"/>
      <c r="E308" s="391"/>
      <c r="F308" s="479"/>
      <c r="G308" s="391"/>
      <c r="H308" s="479"/>
      <c r="I308" s="45">
        <f t="shared" si="34"/>
        <v>0</v>
      </c>
      <c r="J308" s="334" t="str">
        <f t="shared" si="35"/>
        <v/>
      </c>
      <c r="K308" s="402"/>
      <c r="L308" s="49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</row>
    <row r="309" spans="1:23" ht="11.25" customHeight="1">
      <c r="A309" s="414">
        <f>'Org structure'!E137</f>
        <v>0</v>
      </c>
      <c r="B309" s="452"/>
      <c r="C309" s="401"/>
      <c r="D309" s="390"/>
      <c r="E309" s="391"/>
      <c r="F309" s="479"/>
      <c r="G309" s="391"/>
      <c r="H309" s="479"/>
      <c r="I309" s="45">
        <f t="shared" si="34"/>
        <v>0</v>
      </c>
      <c r="J309" s="334" t="str">
        <f t="shared" si="35"/>
        <v/>
      </c>
      <c r="K309" s="402"/>
      <c r="L309" s="49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</row>
    <row r="310" spans="1:23" ht="11.25" customHeight="1">
      <c r="A310" s="414">
        <f>'Org structure'!E138</f>
        <v>0</v>
      </c>
      <c r="B310" s="452"/>
      <c r="C310" s="401"/>
      <c r="D310" s="390"/>
      <c r="E310" s="391"/>
      <c r="F310" s="479"/>
      <c r="G310" s="391"/>
      <c r="H310" s="479"/>
      <c r="I310" s="45">
        <f t="shared" si="34"/>
        <v>0</v>
      </c>
      <c r="J310" s="334" t="str">
        <f t="shared" si="35"/>
        <v/>
      </c>
      <c r="K310" s="402"/>
      <c r="L310" s="49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</row>
    <row r="311" spans="1:23" ht="11.25" customHeight="1">
      <c r="A311" s="414">
        <f>'Org structure'!E139</f>
        <v>0</v>
      </c>
      <c r="B311" s="452"/>
      <c r="C311" s="401"/>
      <c r="D311" s="390"/>
      <c r="E311" s="391"/>
      <c r="F311" s="479"/>
      <c r="G311" s="391"/>
      <c r="H311" s="479"/>
      <c r="I311" s="45">
        <f t="shared" si="34"/>
        <v>0</v>
      </c>
      <c r="J311" s="334" t="str">
        <f t="shared" si="35"/>
        <v/>
      </c>
      <c r="K311" s="402"/>
      <c r="L311" s="49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</row>
    <row r="312" spans="1:23" ht="11.25" customHeight="1">
      <c r="A312" s="414">
        <f>'Org structure'!E140</f>
        <v>0</v>
      </c>
      <c r="B312" s="452"/>
      <c r="C312" s="401"/>
      <c r="D312" s="390"/>
      <c r="E312" s="391"/>
      <c r="F312" s="479"/>
      <c r="G312" s="391"/>
      <c r="H312" s="479"/>
      <c r="I312" s="45">
        <f t="shared" si="34"/>
        <v>0</v>
      </c>
      <c r="J312" s="334" t="str">
        <f t="shared" si="35"/>
        <v/>
      </c>
      <c r="K312" s="402"/>
      <c r="L312" s="49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</row>
    <row r="313" spans="1:23" ht="11.25" customHeight="1">
      <c r="A313" s="414">
        <f>'Org structure'!E141</f>
        <v>0</v>
      </c>
      <c r="B313" s="452"/>
      <c r="C313" s="401"/>
      <c r="D313" s="390"/>
      <c r="E313" s="391"/>
      <c r="F313" s="479"/>
      <c r="G313" s="391"/>
      <c r="H313" s="479"/>
      <c r="I313" s="45">
        <f t="shared" si="34"/>
        <v>0</v>
      </c>
      <c r="J313" s="334" t="str">
        <f t="shared" si="35"/>
        <v/>
      </c>
      <c r="K313" s="402"/>
      <c r="L313" s="49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</row>
    <row r="314" spans="1:23" ht="11.25" customHeight="1">
      <c r="A314" s="414">
        <f>'Org structure'!E142</f>
        <v>0</v>
      </c>
      <c r="B314" s="452"/>
      <c r="C314" s="401"/>
      <c r="D314" s="390"/>
      <c r="E314" s="391"/>
      <c r="F314" s="479"/>
      <c r="G314" s="391"/>
      <c r="H314" s="479"/>
      <c r="I314" s="45">
        <f t="shared" si="34"/>
        <v>0</v>
      </c>
      <c r="J314" s="334" t="str">
        <f t="shared" si="35"/>
        <v/>
      </c>
      <c r="K314" s="402"/>
      <c r="L314" s="49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</row>
    <row r="315" spans="1:23" ht="11.25" customHeight="1">
      <c r="A315" s="414">
        <f>'Org structure'!E143</f>
        <v>0</v>
      </c>
      <c r="B315" s="452"/>
      <c r="C315" s="401"/>
      <c r="D315" s="390"/>
      <c r="E315" s="391"/>
      <c r="F315" s="479"/>
      <c r="G315" s="391"/>
      <c r="H315" s="479"/>
      <c r="I315" s="45">
        <f t="shared" si="34"/>
        <v>0</v>
      </c>
      <c r="J315" s="334" t="str">
        <f t="shared" si="35"/>
        <v/>
      </c>
      <c r="K315" s="402"/>
      <c r="L315" s="49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</row>
    <row r="316" spans="1:23" ht="11.25" customHeight="1">
      <c r="A316" s="414">
        <f>'Org structure'!E144</f>
        <v>0</v>
      </c>
      <c r="B316" s="452"/>
      <c r="C316" s="401"/>
      <c r="D316" s="390"/>
      <c r="E316" s="391"/>
      <c r="F316" s="479"/>
      <c r="G316" s="391"/>
      <c r="H316" s="479"/>
      <c r="I316" s="45">
        <f t="shared" si="34"/>
        <v>0</v>
      </c>
      <c r="J316" s="334" t="str">
        <f t="shared" si="35"/>
        <v/>
      </c>
      <c r="K316" s="402"/>
      <c r="L316" s="49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</row>
    <row r="317" spans="1:23" ht="11.25" customHeight="1">
      <c r="A317" s="473" t="str">
        <f>'Org structure'!A15</f>
        <v xml:space="preserve">Vote 14 - </v>
      </c>
      <c r="B317" s="452"/>
      <c r="C317" s="510">
        <f t="shared" ref="C317:K317" si="40">SUM(C318:C327)</f>
        <v>0</v>
      </c>
      <c r="D317" s="451">
        <f t="shared" si="40"/>
        <v>0</v>
      </c>
      <c r="E317" s="448">
        <f t="shared" si="40"/>
        <v>0</v>
      </c>
      <c r="F317" s="450">
        <f t="shared" si="40"/>
        <v>0</v>
      </c>
      <c r="G317" s="448">
        <f t="shared" si="40"/>
        <v>0</v>
      </c>
      <c r="H317" s="450">
        <f t="shared" si="40"/>
        <v>0</v>
      </c>
      <c r="I317" s="45">
        <f t="shared" si="34"/>
        <v>0</v>
      </c>
      <c r="J317" s="334" t="str">
        <f t="shared" si="35"/>
        <v/>
      </c>
      <c r="K317" s="449">
        <f t="shared" si="40"/>
        <v>0</v>
      </c>
      <c r="L317" s="49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</row>
    <row r="318" spans="1:23" ht="11.25" customHeight="1">
      <c r="A318" s="414" t="str">
        <f>'Org structure'!E146</f>
        <v>14.1 - [Name of sub-vote]</v>
      </c>
      <c r="B318" s="452"/>
      <c r="C318" s="401"/>
      <c r="D318" s="390"/>
      <c r="E318" s="391"/>
      <c r="F318" s="479"/>
      <c r="G318" s="391"/>
      <c r="H318" s="479"/>
      <c r="I318" s="45">
        <f t="shared" si="34"/>
        <v>0</v>
      </c>
      <c r="J318" s="334" t="str">
        <f t="shared" si="35"/>
        <v/>
      </c>
      <c r="K318" s="402"/>
      <c r="L318" s="49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</row>
    <row r="319" spans="1:23" ht="11.25" customHeight="1">
      <c r="A319" s="414">
        <f>'Org structure'!E147</f>
        <v>0</v>
      </c>
      <c r="B319" s="452"/>
      <c r="C319" s="401"/>
      <c r="D319" s="390"/>
      <c r="E319" s="391"/>
      <c r="F319" s="479"/>
      <c r="G319" s="391"/>
      <c r="H319" s="479"/>
      <c r="I319" s="45">
        <f t="shared" si="34"/>
        <v>0</v>
      </c>
      <c r="J319" s="334" t="str">
        <f t="shared" si="35"/>
        <v/>
      </c>
      <c r="K319" s="402"/>
      <c r="L319" s="49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</row>
    <row r="320" spans="1:23" ht="11.25" customHeight="1">
      <c r="A320" s="414">
        <f>'Org structure'!E148</f>
        <v>0</v>
      </c>
      <c r="B320" s="452"/>
      <c r="C320" s="401"/>
      <c r="D320" s="390"/>
      <c r="E320" s="391"/>
      <c r="F320" s="479"/>
      <c r="G320" s="391"/>
      <c r="H320" s="479"/>
      <c r="I320" s="45">
        <f t="shared" si="34"/>
        <v>0</v>
      </c>
      <c r="J320" s="334" t="str">
        <f t="shared" si="35"/>
        <v/>
      </c>
      <c r="K320" s="402"/>
      <c r="L320" s="49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</row>
    <row r="321" spans="1:23" ht="11.25" customHeight="1">
      <c r="A321" s="414">
        <f>'Org structure'!E149</f>
        <v>0</v>
      </c>
      <c r="B321" s="452"/>
      <c r="C321" s="401"/>
      <c r="D321" s="390"/>
      <c r="E321" s="391"/>
      <c r="F321" s="479"/>
      <c r="G321" s="391"/>
      <c r="H321" s="479"/>
      <c r="I321" s="45">
        <f t="shared" si="34"/>
        <v>0</v>
      </c>
      <c r="J321" s="334" t="str">
        <f t="shared" si="35"/>
        <v/>
      </c>
      <c r="K321" s="402"/>
      <c r="L321" s="49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</row>
    <row r="322" spans="1:23" ht="11.25" customHeight="1">
      <c r="A322" s="414">
        <f>'Org structure'!E150</f>
        <v>0</v>
      </c>
      <c r="B322" s="452"/>
      <c r="C322" s="401"/>
      <c r="D322" s="390"/>
      <c r="E322" s="391"/>
      <c r="F322" s="479"/>
      <c r="G322" s="391"/>
      <c r="H322" s="479"/>
      <c r="I322" s="45">
        <f t="shared" si="34"/>
        <v>0</v>
      </c>
      <c r="J322" s="334" t="str">
        <f t="shared" si="35"/>
        <v/>
      </c>
      <c r="K322" s="402"/>
      <c r="L322" s="49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</row>
    <row r="323" spans="1:23" ht="11.25" customHeight="1">
      <c r="A323" s="414">
        <f>'Org structure'!E151</f>
        <v>0</v>
      </c>
      <c r="B323" s="452"/>
      <c r="C323" s="401"/>
      <c r="D323" s="390"/>
      <c r="E323" s="391"/>
      <c r="F323" s="479"/>
      <c r="G323" s="391"/>
      <c r="H323" s="479"/>
      <c r="I323" s="45">
        <f t="shared" si="34"/>
        <v>0</v>
      </c>
      <c r="J323" s="334" t="str">
        <f t="shared" si="35"/>
        <v/>
      </c>
      <c r="K323" s="402"/>
      <c r="L323" s="49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</row>
    <row r="324" spans="1:23" ht="11.25" customHeight="1">
      <c r="A324" s="414">
        <f>'Org structure'!E152</f>
        <v>0</v>
      </c>
      <c r="B324" s="452"/>
      <c r="C324" s="401"/>
      <c r="D324" s="390"/>
      <c r="E324" s="391"/>
      <c r="F324" s="479"/>
      <c r="G324" s="391"/>
      <c r="H324" s="479"/>
      <c r="I324" s="45">
        <f t="shared" si="34"/>
        <v>0</v>
      </c>
      <c r="J324" s="334" t="str">
        <f t="shared" si="35"/>
        <v/>
      </c>
      <c r="K324" s="402"/>
      <c r="L324" s="49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</row>
    <row r="325" spans="1:23" ht="11.25" customHeight="1">
      <c r="A325" s="414">
        <f>'Org structure'!E153</f>
        <v>0</v>
      </c>
      <c r="B325" s="452"/>
      <c r="C325" s="401"/>
      <c r="D325" s="390"/>
      <c r="E325" s="391"/>
      <c r="F325" s="479"/>
      <c r="G325" s="391"/>
      <c r="H325" s="479"/>
      <c r="I325" s="45">
        <f t="shared" si="34"/>
        <v>0</v>
      </c>
      <c r="J325" s="334" t="str">
        <f t="shared" si="35"/>
        <v/>
      </c>
      <c r="K325" s="402"/>
      <c r="L325" s="49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</row>
    <row r="326" spans="1:23" ht="11.25" customHeight="1">
      <c r="A326" s="414">
        <f>'Org structure'!E154</f>
        <v>0</v>
      </c>
      <c r="B326" s="452"/>
      <c r="C326" s="401"/>
      <c r="D326" s="390"/>
      <c r="E326" s="391"/>
      <c r="F326" s="479"/>
      <c r="G326" s="391"/>
      <c r="H326" s="479"/>
      <c r="I326" s="45">
        <f t="shared" ref="I326:I341" si="41">G326-H326</f>
        <v>0</v>
      </c>
      <c r="J326" s="334" t="str">
        <f t="shared" ref="J326:J341" si="42">IF(I326=0,"",I326/H326)</f>
        <v/>
      </c>
      <c r="K326" s="402"/>
      <c r="L326" s="49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</row>
    <row r="327" spans="1:23" ht="11.25" customHeight="1">
      <c r="A327" s="414">
        <f>'Org structure'!E155</f>
        <v>0</v>
      </c>
      <c r="B327" s="452"/>
      <c r="C327" s="401"/>
      <c r="D327" s="390"/>
      <c r="E327" s="391"/>
      <c r="F327" s="479"/>
      <c r="G327" s="391"/>
      <c r="H327" s="479"/>
      <c r="I327" s="45">
        <f t="shared" si="41"/>
        <v>0</v>
      </c>
      <c r="J327" s="334" t="str">
        <f t="shared" si="42"/>
        <v/>
      </c>
      <c r="K327" s="402"/>
      <c r="L327" s="49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</row>
    <row r="328" spans="1:23" ht="11.25" customHeight="1">
      <c r="A328" s="473" t="str">
        <f>'Org structure'!A16</f>
        <v xml:space="preserve">Vote 15 - </v>
      </c>
      <c r="B328" s="452"/>
      <c r="C328" s="510">
        <f t="shared" ref="C328:K328" si="43">SUM(C329:C338)</f>
        <v>0</v>
      </c>
      <c r="D328" s="451">
        <f t="shared" si="43"/>
        <v>0</v>
      </c>
      <c r="E328" s="448">
        <f t="shared" si="43"/>
        <v>0</v>
      </c>
      <c r="F328" s="450">
        <f t="shared" si="43"/>
        <v>0</v>
      </c>
      <c r="G328" s="448">
        <f t="shared" si="43"/>
        <v>0</v>
      </c>
      <c r="H328" s="450">
        <f t="shared" si="43"/>
        <v>0</v>
      </c>
      <c r="I328" s="45">
        <f t="shared" si="41"/>
        <v>0</v>
      </c>
      <c r="J328" s="334" t="str">
        <f t="shared" si="42"/>
        <v/>
      </c>
      <c r="K328" s="449">
        <f t="shared" si="43"/>
        <v>0</v>
      </c>
      <c r="L328" s="49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</row>
    <row r="329" spans="1:23" ht="11.25" customHeight="1">
      <c r="A329" s="414" t="str">
        <f>'Org structure'!E157</f>
        <v>15.1 - [Name of sub-vote]</v>
      </c>
      <c r="B329" s="452"/>
      <c r="C329" s="401"/>
      <c r="D329" s="390"/>
      <c r="E329" s="391"/>
      <c r="F329" s="479"/>
      <c r="G329" s="391"/>
      <c r="H329" s="479"/>
      <c r="I329" s="45">
        <f t="shared" si="41"/>
        <v>0</v>
      </c>
      <c r="J329" s="334" t="str">
        <f t="shared" si="42"/>
        <v/>
      </c>
      <c r="K329" s="402"/>
      <c r="L329" s="49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</row>
    <row r="330" spans="1:23" ht="11.25" customHeight="1">
      <c r="A330" s="414">
        <f>'Org structure'!E158</f>
        <v>0</v>
      </c>
      <c r="B330" s="452"/>
      <c r="C330" s="401"/>
      <c r="D330" s="390"/>
      <c r="E330" s="391"/>
      <c r="F330" s="479"/>
      <c r="G330" s="391"/>
      <c r="H330" s="479"/>
      <c r="I330" s="45">
        <f t="shared" si="41"/>
        <v>0</v>
      </c>
      <c r="J330" s="334" t="str">
        <f t="shared" si="42"/>
        <v/>
      </c>
      <c r="K330" s="402"/>
      <c r="L330" s="49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</row>
    <row r="331" spans="1:23" ht="11.25" customHeight="1">
      <c r="A331" s="414">
        <f>'Org structure'!E159</f>
        <v>0</v>
      </c>
      <c r="B331" s="452"/>
      <c r="C331" s="401"/>
      <c r="D331" s="390"/>
      <c r="E331" s="391"/>
      <c r="F331" s="479"/>
      <c r="G331" s="391"/>
      <c r="H331" s="479"/>
      <c r="I331" s="45">
        <f t="shared" si="41"/>
        <v>0</v>
      </c>
      <c r="J331" s="334" t="str">
        <f t="shared" si="42"/>
        <v/>
      </c>
      <c r="K331" s="402"/>
      <c r="L331" s="49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</row>
    <row r="332" spans="1:23" ht="11.25" customHeight="1">
      <c r="A332" s="414">
        <f>'Org structure'!E160</f>
        <v>0</v>
      </c>
      <c r="B332" s="452"/>
      <c r="C332" s="401"/>
      <c r="D332" s="390"/>
      <c r="E332" s="391"/>
      <c r="F332" s="479"/>
      <c r="G332" s="391"/>
      <c r="H332" s="479"/>
      <c r="I332" s="45">
        <f t="shared" si="41"/>
        <v>0</v>
      </c>
      <c r="J332" s="334" t="str">
        <f t="shared" si="42"/>
        <v/>
      </c>
      <c r="K332" s="402"/>
      <c r="L332" s="49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</row>
    <row r="333" spans="1:23" ht="11.25" customHeight="1">
      <c r="A333" s="414">
        <f>'Org structure'!E161</f>
        <v>0</v>
      </c>
      <c r="B333" s="452"/>
      <c r="C333" s="401"/>
      <c r="D333" s="390"/>
      <c r="E333" s="391"/>
      <c r="F333" s="479"/>
      <c r="G333" s="391"/>
      <c r="H333" s="479"/>
      <c r="I333" s="45">
        <f t="shared" si="41"/>
        <v>0</v>
      </c>
      <c r="J333" s="334" t="str">
        <f t="shared" si="42"/>
        <v/>
      </c>
      <c r="K333" s="402"/>
      <c r="L333" s="49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</row>
    <row r="334" spans="1:23" ht="11.25" customHeight="1">
      <c r="A334" s="414">
        <f>'Org structure'!E162</f>
        <v>0</v>
      </c>
      <c r="B334" s="452"/>
      <c r="C334" s="401"/>
      <c r="D334" s="390"/>
      <c r="E334" s="391"/>
      <c r="F334" s="479"/>
      <c r="G334" s="391"/>
      <c r="H334" s="479"/>
      <c r="I334" s="45">
        <f t="shared" si="41"/>
        <v>0</v>
      </c>
      <c r="J334" s="334" t="str">
        <f t="shared" si="42"/>
        <v/>
      </c>
      <c r="K334" s="402"/>
      <c r="L334" s="49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</row>
    <row r="335" spans="1:23" ht="11.25" customHeight="1">
      <c r="A335" s="414">
        <f>'Org structure'!E163</f>
        <v>0</v>
      </c>
      <c r="B335" s="452"/>
      <c r="C335" s="401"/>
      <c r="D335" s="390"/>
      <c r="E335" s="391"/>
      <c r="F335" s="479"/>
      <c r="G335" s="391"/>
      <c r="H335" s="479"/>
      <c r="I335" s="45">
        <f t="shared" si="41"/>
        <v>0</v>
      </c>
      <c r="J335" s="334" t="str">
        <f t="shared" si="42"/>
        <v/>
      </c>
      <c r="K335" s="402"/>
      <c r="L335" s="49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</row>
    <row r="336" spans="1:23" ht="11.25" customHeight="1">
      <c r="A336" s="414">
        <f>'Org structure'!E164</f>
        <v>0</v>
      </c>
      <c r="B336" s="452"/>
      <c r="C336" s="401"/>
      <c r="D336" s="390"/>
      <c r="E336" s="391"/>
      <c r="F336" s="479"/>
      <c r="G336" s="391"/>
      <c r="H336" s="479"/>
      <c r="I336" s="45">
        <f t="shared" si="41"/>
        <v>0</v>
      </c>
      <c r="J336" s="334" t="str">
        <f t="shared" si="42"/>
        <v/>
      </c>
      <c r="K336" s="402"/>
      <c r="L336" s="49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</row>
    <row r="337" spans="1:24" ht="11.25" customHeight="1">
      <c r="A337" s="414">
        <f>'Org structure'!E165</f>
        <v>0</v>
      </c>
      <c r="B337" s="452"/>
      <c r="C337" s="401"/>
      <c r="D337" s="390"/>
      <c r="E337" s="391"/>
      <c r="F337" s="479"/>
      <c r="G337" s="391"/>
      <c r="H337" s="479"/>
      <c r="I337" s="45">
        <f t="shared" si="41"/>
        <v>0</v>
      </c>
      <c r="J337" s="334" t="str">
        <f t="shared" si="42"/>
        <v/>
      </c>
      <c r="K337" s="402"/>
      <c r="L337" s="49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</row>
    <row r="338" spans="1:24" ht="11.25" customHeight="1">
      <c r="A338" s="414">
        <f>'Org structure'!E166</f>
        <v>0</v>
      </c>
      <c r="B338" s="452"/>
      <c r="C338" s="401"/>
      <c r="D338" s="390"/>
      <c r="E338" s="391"/>
      <c r="F338" s="479"/>
      <c r="G338" s="391"/>
      <c r="H338" s="479"/>
      <c r="I338" s="45">
        <f t="shared" si="41"/>
        <v>0</v>
      </c>
      <c r="J338" s="334" t="str">
        <f t="shared" si="42"/>
        <v/>
      </c>
      <c r="K338" s="402"/>
      <c r="L338" s="459">
        <f t="shared" ref="L338:W338" si="44">SUM(L173:L249)</f>
        <v>0</v>
      </c>
      <c r="M338" s="460">
        <f t="shared" si="44"/>
        <v>0</v>
      </c>
      <c r="N338" s="460">
        <f t="shared" si="44"/>
        <v>0</v>
      </c>
      <c r="O338" s="460">
        <f t="shared" si="44"/>
        <v>0</v>
      </c>
      <c r="P338" s="460">
        <f t="shared" si="44"/>
        <v>0</v>
      </c>
      <c r="Q338" s="460">
        <f t="shared" si="44"/>
        <v>0</v>
      </c>
      <c r="R338" s="460">
        <f t="shared" si="44"/>
        <v>0</v>
      </c>
      <c r="S338" s="460">
        <f t="shared" si="44"/>
        <v>0</v>
      </c>
      <c r="T338" s="460">
        <f t="shared" si="44"/>
        <v>0</v>
      </c>
      <c r="U338" s="460">
        <f t="shared" si="44"/>
        <v>0</v>
      </c>
      <c r="V338" s="460">
        <f t="shared" si="44"/>
        <v>0</v>
      </c>
      <c r="W338" s="460">
        <f t="shared" si="44"/>
        <v>0</v>
      </c>
    </row>
    <row r="339" spans="1:24" ht="12.75" customHeight="1">
      <c r="A339" s="454" t="s">
        <v>787</v>
      </c>
      <c r="B339" s="452">
        <v>2</v>
      </c>
      <c r="C339" s="515">
        <f t="shared" ref="C339:H339" si="45">C174+C185+C196+C207+C218+C229+C240+C251+C262++C273+C284+C295+C306+C317+C328</f>
        <v>0</v>
      </c>
      <c r="D339" s="482">
        <f t="shared" si="45"/>
        <v>1153147766.8535199</v>
      </c>
      <c r="E339" s="437">
        <f t="shared" si="45"/>
        <v>0</v>
      </c>
      <c r="F339" s="481">
        <f t="shared" si="45"/>
        <v>63789482.879999995</v>
      </c>
      <c r="G339" s="437">
        <f t="shared" si="45"/>
        <v>599218639.93000007</v>
      </c>
      <c r="H339" s="481">
        <f t="shared" si="45"/>
        <v>1153147766.8535199</v>
      </c>
      <c r="I339" s="437">
        <f t="shared" si="41"/>
        <v>-553929126.92351985</v>
      </c>
      <c r="J339" s="437">
        <f t="shared" si="42"/>
        <v>-0.4803626584951653</v>
      </c>
      <c r="K339" s="520">
        <f>K174+K185+K196+K207+K218+K229+K240+K251+K262++K273+K284+K295+K306+K317+K328</f>
        <v>1153147766.8535199</v>
      </c>
      <c r="L339" s="48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>
      <c r="A340" s="900"/>
      <c r="B340" s="452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7">
        <f t="shared" ref="L340:W340" si="46">L170-L338</f>
        <v>0</v>
      </c>
      <c r="M340" s="488">
        <f t="shared" si="46"/>
        <v>0</v>
      </c>
      <c r="N340" s="488">
        <f t="shared" si="46"/>
        <v>0</v>
      </c>
      <c r="O340" s="488">
        <f t="shared" si="46"/>
        <v>0</v>
      </c>
      <c r="P340" s="488">
        <f t="shared" si="46"/>
        <v>0</v>
      </c>
      <c r="Q340" s="488">
        <f t="shared" si="46"/>
        <v>0</v>
      </c>
      <c r="R340" s="488">
        <f t="shared" si="46"/>
        <v>0</v>
      </c>
      <c r="S340" s="488">
        <f t="shared" si="46"/>
        <v>0</v>
      </c>
      <c r="T340" s="488">
        <f t="shared" si="46"/>
        <v>0</v>
      </c>
      <c r="U340" s="488">
        <f t="shared" si="46"/>
        <v>0</v>
      </c>
      <c r="V340" s="488">
        <f t="shared" si="46"/>
        <v>0</v>
      </c>
      <c r="W340" s="488">
        <f t="shared" si="46"/>
        <v>0</v>
      </c>
    </row>
    <row r="341" spans="1:24" s="493" customFormat="1" ht="11.25" customHeight="1" thickTop="1">
      <c r="A341" s="901" t="str">
        <f>result</f>
        <v>Surplus/ (Deficit) for the year</v>
      </c>
      <c r="B341" s="484">
        <v>2</v>
      </c>
      <c r="C341" s="516">
        <f t="shared" ref="C341:H341" si="47">C171-C339</f>
        <v>0</v>
      </c>
      <c r="D341" s="519">
        <f t="shared" si="47"/>
        <v>617711.18648004532</v>
      </c>
      <c r="E341" s="56">
        <f t="shared" si="47"/>
        <v>0</v>
      </c>
      <c r="F341" s="486">
        <f t="shared" si="47"/>
        <v>-20324708.879999995</v>
      </c>
      <c r="G341" s="56">
        <f t="shared" si="47"/>
        <v>10354212.169999957</v>
      </c>
      <c r="H341" s="486">
        <f t="shared" si="47"/>
        <v>617711.18648004532</v>
      </c>
      <c r="I341" s="56">
        <f t="shared" si="41"/>
        <v>9736500.9835199118</v>
      </c>
      <c r="J341" s="56">
        <f t="shared" si="42"/>
        <v>15.762222211001584</v>
      </c>
      <c r="K341" s="236">
        <f>K171-K339</f>
        <v>617711.18648004532</v>
      </c>
    </row>
    <row r="342" spans="1:24" s="493" customFormat="1" ht="11.25" customHeight="1">
      <c r="A342" s="489" t="str">
        <f>head27a</f>
        <v>References</v>
      </c>
      <c r="B342" s="490"/>
      <c r="C342" s="491"/>
      <c r="D342" s="492"/>
      <c r="E342" s="492"/>
      <c r="F342" s="492"/>
      <c r="G342" s="492"/>
      <c r="H342" s="492"/>
      <c r="I342" s="492"/>
      <c r="J342" s="492"/>
      <c r="K342" s="492"/>
    </row>
    <row r="343" spans="1:24" s="493" customFormat="1" ht="11.25" customHeight="1">
      <c r="A343" s="494" t="s">
        <v>136</v>
      </c>
      <c r="B343" s="490"/>
      <c r="C343" s="495"/>
      <c r="D343" s="495"/>
      <c r="E343" s="496"/>
      <c r="F343" s="496"/>
      <c r="G343" s="496"/>
      <c r="H343" s="496"/>
      <c r="I343" s="496"/>
      <c r="J343" s="496"/>
      <c r="K343" s="496"/>
    </row>
    <row r="344" spans="1:24" s="493" customFormat="1" ht="11.25" customHeight="1">
      <c r="A344" s="497" t="s">
        <v>137</v>
      </c>
      <c r="B344" s="490"/>
      <c r="C344" s="495"/>
      <c r="D344" s="495"/>
      <c r="E344" s="496"/>
      <c r="F344" s="496"/>
      <c r="G344" s="496"/>
      <c r="H344" s="496"/>
      <c r="I344" s="496"/>
      <c r="J344" s="496"/>
      <c r="K344" s="496"/>
    </row>
    <row r="345" spans="1:24" ht="11.25" customHeight="1">
      <c r="A345" s="497" t="s">
        <v>138</v>
      </c>
      <c r="B345" s="498"/>
      <c r="C345" s="499"/>
      <c r="D345" s="499"/>
      <c r="E345" s="500"/>
      <c r="F345" s="500"/>
      <c r="G345" s="500"/>
      <c r="H345" s="500"/>
      <c r="I345" s="500"/>
      <c r="J345" s="500"/>
      <c r="K345" s="500"/>
    </row>
    <row r="346" spans="1:24" ht="11.25" customHeight="1">
      <c r="A346" s="68"/>
    </row>
    <row r="347" spans="1:24" ht="11.25" customHeight="1">
      <c r="A347" s="502" t="s">
        <v>139</v>
      </c>
      <c r="B347" s="692"/>
      <c r="C347" s="693"/>
      <c r="D347" s="693"/>
      <c r="E347" s="693"/>
      <c r="F347" s="693"/>
      <c r="G347" s="693"/>
      <c r="H347" s="693"/>
      <c r="I347" s="693"/>
      <c r="J347" s="693"/>
      <c r="K347" s="693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>
      <c r="A348" s="502" t="s">
        <v>140</v>
      </c>
      <c r="B348" s="692"/>
      <c r="C348" s="693"/>
      <c r="D348" s="693"/>
      <c r="E348" s="693"/>
      <c r="F348" s="693"/>
      <c r="G348" s="693"/>
      <c r="H348" s="693"/>
      <c r="I348" s="693"/>
      <c r="J348" s="693"/>
      <c r="K348" s="693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>
      <c r="A349" s="68"/>
    </row>
    <row r="350" spans="1:24" ht="11.25" customHeight="1">
      <c r="A350" s="68"/>
    </row>
    <row r="351" spans="1:24" ht="11.25" customHeight="1">
      <c r="A351" s="68"/>
    </row>
    <row r="352" spans="1:2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</sheetData>
  <mergeCells count="2">
    <mergeCell ref="L2:W2"/>
    <mergeCell ref="D2:K2"/>
  </mergeCells>
  <phoneticPr fontId="3" type="noConversion"/>
  <pageMargins left="0.75" right="0.75" top="1" bottom="1" header="0.5" footer="0.5"/>
  <pageSetup scale="72"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F26" sqref="F26:G36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"&amp;S71B&amp; " - "&amp;date</f>
        <v>FS194 Maluti-a-Phofung - Table C4 Consolidated Monthly Budget Statement - Financial Performance (revenue and expenditure)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92" t="str">
        <f>head27</f>
        <v>Ref</v>
      </c>
      <c r="C2" s="159" t="str">
        <f>Head1</f>
        <v>2012/13</v>
      </c>
      <c r="D2" s="978" t="str">
        <f>Head2</f>
        <v>Budget Year 2013/14</v>
      </c>
      <c r="E2" s="979"/>
      <c r="F2" s="979"/>
      <c r="G2" s="979"/>
      <c r="H2" s="979"/>
      <c r="I2" s="979"/>
      <c r="J2" s="979"/>
      <c r="K2" s="980"/>
    </row>
    <row r="3" spans="1:11" ht="25.5">
      <c r="A3" s="984"/>
      <c r="B3" s="993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821</v>
      </c>
      <c r="B4" s="425"/>
      <c r="C4" s="188"/>
      <c r="D4" s="241"/>
      <c r="E4" s="242"/>
      <c r="F4" s="83"/>
      <c r="G4" s="83"/>
      <c r="H4" s="83"/>
      <c r="I4" s="83"/>
      <c r="J4" s="243" t="s">
        <v>723</v>
      </c>
      <c r="K4" s="224"/>
    </row>
    <row r="5" spans="1:11" ht="12.75" customHeight="1">
      <c r="A5" s="183" t="s">
        <v>600</v>
      </c>
      <c r="B5" s="526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>
      <c r="A6" s="40" t="s">
        <v>1123</v>
      </c>
      <c r="B6" s="426"/>
      <c r="C6" s="767"/>
      <c r="D6" s="764">
        <v>204308908.03999999</v>
      </c>
      <c r="E6" s="752"/>
      <c r="F6" s="752">
        <f>59307793.13-47578389.23</f>
        <v>11729403.900000006</v>
      </c>
      <c r="G6" s="752">
        <f>18322388.72+10975987.51+12732849.04+10632736.29+11687625.8+11781061.26+11729403.9</f>
        <v>87862052.520000011</v>
      </c>
      <c r="H6" s="764">
        <v>204308908.03999999</v>
      </c>
      <c r="I6" s="45">
        <f t="shared" ref="I6:I23" si="0">G6-H6</f>
        <v>-116446855.51999998</v>
      </c>
      <c r="J6" s="334">
        <f t="shared" ref="J6:J23" si="1">IF(I6=0,"",I6/H6)</f>
        <v>-0.56995486216000812</v>
      </c>
      <c r="K6" s="764">
        <v>204308908.03999999</v>
      </c>
    </row>
    <row r="7" spans="1:11" ht="11.25" customHeight="1">
      <c r="A7" s="40" t="s">
        <v>1154</v>
      </c>
      <c r="B7" s="426"/>
      <c r="C7" s="767"/>
      <c r="D7" s="764"/>
      <c r="E7" s="752"/>
      <c r="F7" s="752"/>
      <c r="G7" s="752"/>
      <c r="H7" s="764"/>
      <c r="I7" s="45">
        <f t="shared" si="0"/>
        <v>0</v>
      </c>
      <c r="J7" s="334" t="str">
        <f t="shared" si="1"/>
        <v/>
      </c>
      <c r="K7" s="764"/>
    </row>
    <row r="8" spans="1:11" ht="11.25" customHeight="1">
      <c r="A8" s="40" t="s">
        <v>1011</v>
      </c>
      <c r="B8" s="426"/>
      <c r="C8" s="767"/>
      <c r="D8" s="764">
        <v>366000000</v>
      </c>
      <c r="E8" s="752"/>
      <c r="F8" s="752">
        <f>180894.85+7085467.34+10234782.65</f>
        <v>17501144.84</v>
      </c>
      <c r="G8" s="752">
        <f>21324142.45+18067859.71+25895789.72+13979691.42+4163592.72+25903624.5+17501144.84</f>
        <v>126835845.36</v>
      </c>
      <c r="H8" s="764">
        <v>366000000</v>
      </c>
      <c r="I8" s="45">
        <f t="shared" si="0"/>
        <v>-239164154.63999999</v>
      </c>
      <c r="J8" s="334">
        <f t="shared" si="1"/>
        <v>-0.65345397442622943</v>
      </c>
      <c r="K8" s="764">
        <v>366000000</v>
      </c>
    </row>
    <row r="9" spans="1:11" ht="11.25" customHeight="1">
      <c r="A9" s="87" t="s">
        <v>1012</v>
      </c>
      <c r="B9" s="428"/>
      <c r="C9" s="767"/>
      <c r="D9" s="764">
        <v>45850000</v>
      </c>
      <c r="E9" s="752"/>
      <c r="F9" s="752">
        <f>56383.12+3702000.44</f>
        <v>3758383.56</v>
      </c>
      <c r="G9" s="752">
        <f>4090179.62+4153776.92+4472997.58+3821122.15+4733123.7+3384449.36+3758383.56</f>
        <v>28414032.890000001</v>
      </c>
      <c r="H9" s="764">
        <v>45850000</v>
      </c>
      <c r="I9" s="45">
        <f t="shared" si="0"/>
        <v>-17435967.109999999</v>
      </c>
      <c r="J9" s="334">
        <f t="shared" si="1"/>
        <v>-0.38028281592148311</v>
      </c>
      <c r="K9" s="764">
        <v>45850000</v>
      </c>
    </row>
    <row r="10" spans="1:11" ht="11.25" customHeight="1">
      <c r="A10" s="87" t="s">
        <v>1013</v>
      </c>
      <c r="B10" s="428"/>
      <c r="C10" s="767"/>
      <c r="D10" s="764">
        <v>20150000</v>
      </c>
      <c r="E10" s="752"/>
      <c r="F10" s="752">
        <v>2386160.2000000002</v>
      </c>
      <c r="G10" s="752">
        <f>4668706.47-186427.34+2394506.61+2432603.41+2456368.64+1340936.53+2386160.2</f>
        <v>15492854.52</v>
      </c>
      <c r="H10" s="764">
        <v>20150000</v>
      </c>
      <c r="I10" s="45">
        <f t="shared" si="0"/>
        <v>-4657145.4800000004</v>
      </c>
      <c r="J10" s="334">
        <f t="shared" si="1"/>
        <v>-0.23112384516129034</v>
      </c>
      <c r="K10" s="764">
        <v>20150000</v>
      </c>
    </row>
    <row r="11" spans="1:11" ht="11.25" customHeight="1">
      <c r="A11" s="524" t="s">
        <v>79</v>
      </c>
      <c r="B11" s="428"/>
      <c r="C11" s="767"/>
      <c r="D11" s="764">
        <v>19266187.5</v>
      </c>
      <c r="E11" s="752"/>
      <c r="F11" s="752">
        <v>1771611.45</v>
      </c>
      <c r="G11" s="752">
        <f>1797568.66+1801247.16+1787055.66+1789394.53+1768632.99+790510.14+1771611.45</f>
        <v>11506020.59</v>
      </c>
      <c r="H11" s="764">
        <v>19266187.5</v>
      </c>
      <c r="I11" s="45">
        <f t="shared" si="0"/>
        <v>-7760166.9100000001</v>
      </c>
      <c r="J11" s="334">
        <f t="shared" si="1"/>
        <v>-0.40278684664519121</v>
      </c>
      <c r="K11" s="764">
        <v>19266187.5</v>
      </c>
    </row>
    <row r="12" spans="1:11" ht="11.25" customHeight="1">
      <c r="A12" s="87" t="s">
        <v>1014</v>
      </c>
      <c r="B12" s="428"/>
      <c r="C12" s="767"/>
      <c r="D12" s="764">
        <f>29136000+13482000</f>
        <v>42618000</v>
      </c>
      <c r="E12" s="752"/>
      <c r="F12" s="752">
        <f>1158170.28+2287132.34+24.64</f>
        <v>3445327.2600000002</v>
      </c>
      <c r="G12" s="752">
        <f>2180461.59+4021995.79+1828995.11+3740517.5+3794079.13+645476.91+1317854.16+3445327.26</f>
        <v>20974707.450000003</v>
      </c>
      <c r="H12" s="764">
        <f>29136000+13482000</f>
        <v>42618000</v>
      </c>
      <c r="I12" s="45">
        <f t="shared" si="0"/>
        <v>-21643292.549999997</v>
      </c>
      <c r="J12" s="334">
        <f t="shared" si="1"/>
        <v>-0.50784392862170902</v>
      </c>
      <c r="K12" s="764">
        <f>29136000+13482000</f>
        <v>42618000</v>
      </c>
    </row>
    <row r="13" spans="1:11" ht="11.25" customHeight="1">
      <c r="A13" s="87" t="s">
        <v>1156</v>
      </c>
      <c r="B13" s="428"/>
      <c r="C13" s="767"/>
      <c r="D13" s="764">
        <v>1200000</v>
      </c>
      <c r="E13" s="752"/>
      <c r="F13" s="752">
        <v>23745.13</v>
      </c>
      <c r="G13" s="752">
        <f>56489.87+83432.49+28974.09+24637.44+105282.79+321991.83+23745.13</f>
        <v>644553.64</v>
      </c>
      <c r="H13" s="764">
        <v>1200000</v>
      </c>
      <c r="I13" s="45">
        <f t="shared" si="0"/>
        <v>-555446.36</v>
      </c>
      <c r="J13" s="334">
        <f t="shared" si="1"/>
        <v>-0.46287196666666663</v>
      </c>
      <c r="K13" s="764">
        <v>1200000</v>
      </c>
    </row>
    <row r="14" spans="1:11" ht="11.25" customHeight="1">
      <c r="A14" s="87" t="s">
        <v>1017</v>
      </c>
      <c r="B14" s="428"/>
      <c r="C14" s="767"/>
      <c r="D14" s="764">
        <v>2423545</v>
      </c>
      <c r="E14" s="752"/>
      <c r="F14" s="752">
        <v>45483.64</v>
      </c>
      <c r="G14" s="752">
        <f>80781.65+266588.07+368208.19+190974.6+57030.62+49800.38+45483.64</f>
        <v>1058867.1499999999</v>
      </c>
      <c r="H14" s="764">
        <v>2423545</v>
      </c>
      <c r="I14" s="45">
        <f t="shared" si="0"/>
        <v>-1364677.85</v>
      </c>
      <c r="J14" s="334">
        <f t="shared" si="1"/>
        <v>-0.56309160754184473</v>
      </c>
      <c r="K14" s="764">
        <v>2423545</v>
      </c>
    </row>
    <row r="15" spans="1:11" ht="11.25" customHeight="1">
      <c r="A15" s="87" t="s">
        <v>1018</v>
      </c>
      <c r="B15" s="428"/>
      <c r="C15" s="767"/>
      <c r="D15" s="764">
        <v>17127000</v>
      </c>
      <c r="E15" s="752"/>
      <c r="F15" s="752">
        <v>1918483.19</v>
      </c>
      <c r="G15" s="752">
        <f>1748494.47+1811739.58+1845205.21+1867707.41+1866006.87+1899853.41+1918483.19</f>
        <v>12957490.139999999</v>
      </c>
      <c r="H15" s="764">
        <v>17127000</v>
      </c>
      <c r="I15" s="45">
        <f t="shared" si="0"/>
        <v>-4169509.8600000013</v>
      </c>
      <c r="J15" s="334">
        <f t="shared" si="1"/>
        <v>-0.2434465966018568</v>
      </c>
      <c r="K15" s="764">
        <v>17127000</v>
      </c>
    </row>
    <row r="16" spans="1:11" ht="11.25" customHeight="1">
      <c r="A16" s="87" t="s">
        <v>1111</v>
      </c>
      <c r="B16" s="428"/>
      <c r="C16" s="767"/>
      <c r="D16" s="764"/>
      <c r="E16" s="752"/>
      <c r="F16" s="752"/>
      <c r="G16" s="752"/>
      <c r="H16" s="764"/>
      <c r="I16" s="45">
        <f t="shared" si="0"/>
        <v>0</v>
      </c>
      <c r="J16" s="334" t="str">
        <f t="shared" si="1"/>
        <v/>
      </c>
      <c r="K16" s="764"/>
    </row>
    <row r="17" spans="1:11" ht="11.25" customHeight="1">
      <c r="A17" s="87" t="s">
        <v>1019</v>
      </c>
      <c r="B17" s="428"/>
      <c r="C17" s="767"/>
      <c r="D17" s="764">
        <v>3051000</v>
      </c>
      <c r="E17" s="752"/>
      <c r="F17" s="752">
        <v>40462.400000000001</v>
      </c>
      <c r="G17" s="752">
        <f>188758.38+108952.7+92704.7+36393.9+120810.1+47448.39+40462.4</f>
        <v>635530.57000000007</v>
      </c>
      <c r="H17" s="764">
        <v>3051000</v>
      </c>
      <c r="I17" s="45">
        <f t="shared" si="0"/>
        <v>-2415469.4299999997</v>
      </c>
      <c r="J17" s="334">
        <f t="shared" si="1"/>
        <v>-0.79169761717469678</v>
      </c>
      <c r="K17" s="764">
        <v>3051000</v>
      </c>
    </row>
    <row r="18" spans="1:11" ht="11.25" customHeight="1">
      <c r="A18" s="87" t="s">
        <v>1020</v>
      </c>
      <c r="B18" s="428"/>
      <c r="C18" s="767"/>
      <c r="D18" s="764"/>
      <c r="E18" s="752"/>
      <c r="F18" s="752"/>
      <c r="G18" s="752"/>
      <c r="H18" s="764"/>
      <c r="I18" s="45">
        <f t="shared" si="0"/>
        <v>0</v>
      </c>
      <c r="J18" s="334" t="str">
        <f t="shared" si="1"/>
        <v/>
      </c>
      <c r="K18" s="764"/>
    </row>
    <row r="19" spans="1:11" ht="11.25" customHeight="1">
      <c r="A19" s="87" t="s">
        <v>729</v>
      </c>
      <c r="B19" s="428"/>
      <c r="C19" s="767"/>
      <c r="D19" s="764"/>
      <c r="E19" s="752"/>
      <c r="F19" s="752"/>
      <c r="G19" s="752"/>
      <c r="H19" s="764"/>
      <c r="I19" s="45">
        <f t="shared" si="0"/>
        <v>0</v>
      </c>
      <c r="J19" s="334" t="str">
        <f t="shared" si="1"/>
        <v/>
      </c>
      <c r="K19" s="764"/>
    </row>
    <row r="20" spans="1:11" ht="11.25" customHeight="1">
      <c r="A20" s="525" t="s">
        <v>80</v>
      </c>
      <c r="B20" s="428"/>
      <c r="C20" s="767"/>
      <c r="D20" s="764">
        <f>348037000+77723000</f>
        <v>425760000</v>
      </c>
      <c r="E20" s="752"/>
      <c r="F20" s="752">
        <v>638416.67000000004</v>
      </c>
      <c r="G20" s="752">
        <f>144918000+800000+6198917+6476916.67+12953833.34+2553000+6476916.67+112662000+6476916.67+638416.67</f>
        <v>300154917.01999998</v>
      </c>
      <c r="H20" s="764">
        <f>348037000+77723000</f>
        <v>425760000</v>
      </c>
      <c r="I20" s="45">
        <f t="shared" si="0"/>
        <v>-125605082.98000002</v>
      </c>
      <c r="J20" s="334">
        <f t="shared" si="1"/>
        <v>-0.2950138175967682</v>
      </c>
      <c r="K20" s="764">
        <f>348037000+77723000</f>
        <v>425760000</v>
      </c>
    </row>
    <row r="21" spans="1:11" ht="11.25" customHeight="1">
      <c r="A21" s="87" t="s">
        <v>564</v>
      </c>
      <c r="B21" s="428"/>
      <c r="C21" s="767"/>
      <c r="D21" s="764">
        <v>6010837.5</v>
      </c>
      <c r="E21" s="752"/>
      <c r="F21" s="752">
        <f>206151.76</f>
        <v>206151.76</v>
      </c>
      <c r="G21" s="752">
        <f>442558.82+243801.87+2450+855212.82+1000+399812.04+306626.32+350+337907.77+2500+237714.33+206151.76</f>
        <v>3036085.7299999995</v>
      </c>
      <c r="H21" s="764">
        <v>6010837.5</v>
      </c>
      <c r="I21" s="45">
        <f t="shared" si="0"/>
        <v>-2974751.7700000005</v>
      </c>
      <c r="J21" s="334">
        <f t="shared" si="1"/>
        <v>-0.49489805206013315</v>
      </c>
      <c r="K21" s="764">
        <v>6010837.5</v>
      </c>
    </row>
    <row r="22" spans="1:11" ht="11.25" customHeight="1">
      <c r="A22" s="40" t="s">
        <v>1021</v>
      </c>
      <c r="B22" s="426"/>
      <c r="C22" s="767"/>
      <c r="D22" s="764"/>
      <c r="E22" s="752"/>
      <c r="F22" s="752"/>
      <c r="G22" s="752"/>
      <c r="H22" s="764"/>
      <c r="I22" s="45">
        <f t="shared" si="0"/>
        <v>0</v>
      </c>
      <c r="J22" s="334" t="str">
        <f t="shared" si="1"/>
        <v/>
      </c>
      <c r="K22" s="764"/>
    </row>
    <row r="23" spans="1:11" ht="24.75" customHeight="1">
      <c r="A23" s="600" t="s">
        <v>152</v>
      </c>
      <c r="B23" s="601"/>
      <c r="C23" s="529">
        <f t="shared" ref="C23:H23" si="2">SUM(C6:C22)</f>
        <v>0</v>
      </c>
      <c r="D23" s="530">
        <f t="shared" si="2"/>
        <v>1153765478.04</v>
      </c>
      <c r="E23" s="531">
        <f t="shared" si="2"/>
        <v>0</v>
      </c>
      <c r="F23" s="531">
        <f t="shared" si="2"/>
        <v>43464774.000000007</v>
      </c>
      <c r="G23" s="531">
        <f t="shared" si="2"/>
        <v>609572957.57999992</v>
      </c>
      <c r="H23" s="531">
        <f t="shared" si="2"/>
        <v>1153765478.04</v>
      </c>
      <c r="I23" s="531">
        <f t="shared" si="0"/>
        <v>-544192520.46000004</v>
      </c>
      <c r="J23" s="532">
        <f t="shared" si="1"/>
        <v>-0.47166649619684098</v>
      </c>
      <c r="K23" s="533">
        <f>SUM(K6:K22)</f>
        <v>1153765478.04</v>
      </c>
    </row>
    <row r="24" spans="1:11" ht="5.0999999999999996" customHeight="1">
      <c r="A24" s="43"/>
      <c r="B24" s="426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36" t="s">
        <v>601</v>
      </c>
      <c r="B25" s="427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>
      <c r="A26" s="40" t="s">
        <v>1022</v>
      </c>
      <c r="B26" s="428"/>
      <c r="C26" s="767"/>
      <c r="D26" s="764">
        <f>172246117.66+29653568.83+73200000</f>
        <v>275099686.49000001</v>
      </c>
      <c r="E26" s="752"/>
      <c r="F26" s="752">
        <f>13795844.2+2407408.47+5073932</f>
        <v>21277184.670000002</v>
      </c>
      <c r="G26" s="752">
        <f>13970688.32+4747005+14053559.24+2317487.05+6125147+12400566.17+2312691.86+5066617+13197241.17+2316222.38+5063757+13275882.39+2320169.58+5157689+13915429.09+2341057.29+5009346+13795844.2+2407408.47+5073932</f>
        <v>144867740.21000001</v>
      </c>
      <c r="H26" s="764">
        <f>172246117.66+29653568.83+73200000</f>
        <v>275099686.49000001</v>
      </c>
      <c r="I26" s="45">
        <f t="shared" ref="I26:I37" si="3">G26-H26</f>
        <v>-130231946.28</v>
      </c>
      <c r="J26" s="334">
        <f t="shared" ref="J26:J42" si="4">IF(I26=0,"",I26/H26)</f>
        <v>-0.47339910830735893</v>
      </c>
      <c r="K26" s="764">
        <f>172246117.66+29653568.83+73200000</f>
        <v>275099686.49000001</v>
      </c>
    </row>
    <row r="27" spans="1:11" ht="12.75" customHeight="1">
      <c r="A27" s="40" t="s">
        <v>590</v>
      </c>
      <c r="B27" s="426"/>
      <c r="C27" s="767"/>
      <c r="D27" s="764">
        <f>24073709</f>
        <v>24073709</v>
      </c>
      <c r="E27" s="752"/>
      <c r="F27" s="752">
        <v>1609174.06</v>
      </c>
      <c r="G27" s="752">
        <f>1457111.28+1457111.28+1457111.28+1457111.28+1465644.04+1609174.05+1609174.06</f>
        <v>10512437.270000001</v>
      </c>
      <c r="H27" s="764">
        <f>24073709</f>
        <v>24073709</v>
      </c>
      <c r="I27" s="45">
        <f t="shared" si="3"/>
        <v>-13561271.729999999</v>
      </c>
      <c r="J27" s="334">
        <f t="shared" si="4"/>
        <v>-0.56332290674444885</v>
      </c>
      <c r="K27" s="764">
        <f>24073709</f>
        <v>24073709</v>
      </c>
    </row>
    <row r="28" spans="1:11" ht="12.75" customHeight="1">
      <c r="A28" s="87" t="s">
        <v>763</v>
      </c>
      <c r="B28" s="428"/>
      <c r="C28" s="767"/>
      <c r="D28" s="764">
        <v>66594083.850000001</v>
      </c>
      <c r="E28" s="752"/>
      <c r="F28" s="752">
        <v>0</v>
      </c>
      <c r="G28" s="752">
        <v>0</v>
      </c>
      <c r="H28" s="764">
        <v>66594083.850000001</v>
      </c>
      <c r="I28" s="45">
        <f t="shared" si="3"/>
        <v>-66594083.850000001</v>
      </c>
      <c r="J28" s="334">
        <f t="shared" si="4"/>
        <v>-1</v>
      </c>
      <c r="K28" s="764">
        <v>66594083.850000001</v>
      </c>
    </row>
    <row r="29" spans="1:11" ht="12.75" customHeight="1">
      <c r="A29" s="87" t="s">
        <v>818</v>
      </c>
      <c r="B29" s="428"/>
      <c r="C29" s="767"/>
      <c r="D29" s="764">
        <v>49000000</v>
      </c>
      <c r="E29" s="752"/>
      <c r="F29" s="752">
        <v>0</v>
      </c>
      <c r="G29" s="752">
        <v>0</v>
      </c>
      <c r="H29" s="764">
        <v>49000000</v>
      </c>
      <c r="I29" s="45">
        <f t="shared" si="3"/>
        <v>-49000000</v>
      </c>
      <c r="J29" s="334">
        <f t="shared" si="4"/>
        <v>-1</v>
      </c>
      <c r="K29" s="764">
        <v>49000000</v>
      </c>
    </row>
    <row r="30" spans="1:11" ht="12.75" customHeight="1">
      <c r="A30" s="87" t="s">
        <v>563</v>
      </c>
      <c r="B30" s="428"/>
      <c r="C30" s="767"/>
      <c r="D30" s="764">
        <v>16000000</v>
      </c>
      <c r="E30" s="752"/>
      <c r="F30" s="752">
        <v>265621.12</v>
      </c>
      <c r="G30" s="752">
        <f>263086.7+262391.97+234314.64+234314.64+2609974.38+265621.12</f>
        <v>3869703.45</v>
      </c>
      <c r="H30" s="764">
        <v>16000000</v>
      </c>
      <c r="I30" s="45">
        <f t="shared" si="3"/>
        <v>-12130296.550000001</v>
      </c>
      <c r="J30" s="334">
        <f t="shared" si="4"/>
        <v>-0.75814353437500004</v>
      </c>
      <c r="K30" s="764">
        <v>16000000</v>
      </c>
    </row>
    <row r="31" spans="1:11" ht="12.75" customHeight="1">
      <c r="A31" s="87" t="s">
        <v>1025</v>
      </c>
      <c r="B31" s="428"/>
      <c r="C31" s="767"/>
      <c r="D31" s="764">
        <f>300000000+10920000</f>
        <v>310920000</v>
      </c>
      <c r="E31" s="752"/>
      <c r="F31" s="752">
        <f>4824561.4+6140350.88</f>
        <v>10964912.280000001</v>
      </c>
      <c r="G31" s="752">
        <f>15079679.44+30159358.88+10130752.17+24122807.01+23752315.68+58998359.27+4824561.4+6140350.88</f>
        <v>173208184.73000002</v>
      </c>
      <c r="H31" s="764">
        <f>300000000+10920000</f>
        <v>310920000</v>
      </c>
      <c r="I31" s="45">
        <f t="shared" si="3"/>
        <v>-137711815.26999998</v>
      </c>
      <c r="J31" s="334">
        <f t="shared" si="4"/>
        <v>-0.44291719821819109</v>
      </c>
      <c r="K31" s="764">
        <f>300000000+10920000</f>
        <v>310920000</v>
      </c>
    </row>
    <row r="32" spans="1:11" ht="12.75" customHeight="1">
      <c r="A32" s="87" t="s">
        <v>1110</v>
      </c>
      <c r="B32" s="428"/>
      <c r="C32" s="767"/>
      <c r="D32" s="764"/>
      <c r="E32" s="752"/>
      <c r="F32" s="752"/>
      <c r="G32" s="752"/>
      <c r="H32" s="764"/>
      <c r="I32" s="45">
        <f t="shared" si="3"/>
        <v>0</v>
      </c>
      <c r="J32" s="334" t="str">
        <f t="shared" si="4"/>
        <v/>
      </c>
      <c r="K32" s="764"/>
    </row>
    <row r="33" spans="1:12" ht="12.75" customHeight="1">
      <c r="A33" s="87" t="s">
        <v>1026</v>
      </c>
      <c r="B33" s="428"/>
      <c r="C33" s="767"/>
      <c r="D33" s="764">
        <v>74785000</v>
      </c>
      <c r="E33" s="752"/>
      <c r="F33" s="752">
        <v>4625803.3099999996</v>
      </c>
      <c r="G33" s="752">
        <f>7832334.24+3130098.56+11257041.9+14176408.02+22933058.38+5011125.51+4625803.31</f>
        <v>68965869.919999987</v>
      </c>
      <c r="H33" s="764">
        <v>74785000</v>
      </c>
      <c r="I33" s="45">
        <f t="shared" si="3"/>
        <v>-5819130.0800000131</v>
      </c>
      <c r="J33" s="334">
        <f t="shared" si="4"/>
        <v>-7.7811460587016282E-2</v>
      </c>
      <c r="K33" s="764">
        <v>74785000</v>
      </c>
    </row>
    <row r="34" spans="1:12" ht="12.75" customHeight="1">
      <c r="A34" s="524" t="s">
        <v>141</v>
      </c>
      <c r="B34" s="428"/>
      <c r="C34" s="767"/>
      <c r="D34" s="764">
        <v>77723300</v>
      </c>
      <c r="E34" s="752"/>
      <c r="F34" s="752">
        <v>638416.67000000004</v>
      </c>
      <c r="G34" s="752">
        <f>6198917+6476916.67+12953833.34+6476916.67+6476916.67+638416.67</f>
        <v>39221917.020000003</v>
      </c>
      <c r="H34" s="764">
        <v>77723300</v>
      </c>
      <c r="I34" s="45">
        <f t="shared" si="3"/>
        <v>-38501382.979999997</v>
      </c>
      <c r="J34" s="334">
        <f t="shared" si="4"/>
        <v>-0.49536474879476294</v>
      </c>
      <c r="K34" s="764">
        <v>77723300</v>
      </c>
    </row>
    <row r="35" spans="1:12" ht="12.75" customHeight="1">
      <c r="A35" s="87" t="s">
        <v>543</v>
      </c>
      <c r="B35" s="428"/>
      <c r="C35" s="767"/>
      <c r="D35" s="764">
        <f>147234507.21+36221000+75496480.31</f>
        <v>258951987.52000001</v>
      </c>
      <c r="E35" s="752"/>
      <c r="F35" s="752">
        <f>15591194.95+2132844.68+485139.03+959626.97+59502.48+1031199+1872695+653292+1622657</f>
        <v>24408151.109999999</v>
      </c>
      <c r="G35" s="752">
        <f>4854623.89+2091049+385227+1559496+15440000+1137239+989089+1554907+21304340.23+6024911.33+496761.93+417541.16+87536.45+1825991+889595+2268169+7504568.6+2019316.19+492087.23+189268.48+222945.3+1735926+1367189+244193+1537929+8574471.76+10276777.82+455615.72+1534786.68+81710+169500+2187155+1589267+154241+2698233+20647568.2+3992828.15+556070.79+298288.77+364720+3943863+15591194.95+2132844.68+485139.03+959626.97+59502.48+1031199+1872695+653292+1622657</f>
        <v>158573147.79000002</v>
      </c>
      <c r="H35" s="764">
        <f>147234507.21+36221000+75496480.31</f>
        <v>258951987.52000001</v>
      </c>
      <c r="I35" s="45">
        <f t="shared" si="3"/>
        <v>-100378839.72999999</v>
      </c>
      <c r="J35" s="334">
        <f t="shared" si="4"/>
        <v>-0.38763494612006905</v>
      </c>
      <c r="K35" s="764">
        <f>147234507.21+36221000+75496480.31</f>
        <v>258951987.52000001</v>
      </c>
    </row>
    <row r="36" spans="1:12" ht="12.75" customHeight="1">
      <c r="A36" s="40" t="s">
        <v>727</v>
      </c>
      <c r="B36" s="426"/>
      <c r="C36" s="767"/>
      <c r="D36" s="764"/>
      <c r="E36" s="752"/>
      <c r="F36" s="752"/>
      <c r="G36" s="752"/>
      <c r="H36" s="764"/>
      <c r="I36" s="45">
        <f t="shared" si="3"/>
        <v>0</v>
      </c>
      <c r="J36" s="334" t="str">
        <f t="shared" si="4"/>
        <v/>
      </c>
      <c r="K36" s="764"/>
    </row>
    <row r="37" spans="1:12" ht="12.75" customHeight="1">
      <c r="A37" s="93" t="s">
        <v>602</v>
      </c>
      <c r="B37" s="429"/>
      <c r="C37" s="244">
        <f t="shared" ref="C37:K37" si="5">SUM(C26:C36)</f>
        <v>0</v>
      </c>
      <c r="D37" s="75">
        <f>SUM(D26:D36)</f>
        <v>1153147766.8600001</v>
      </c>
      <c r="E37" s="74">
        <f>SUM(E26:E36)</f>
        <v>0</v>
      </c>
      <c r="F37" s="74">
        <f t="shared" si="5"/>
        <v>63789263.220000006</v>
      </c>
      <c r="G37" s="74">
        <f t="shared" si="5"/>
        <v>599219000.3900001</v>
      </c>
      <c r="H37" s="74">
        <f t="shared" si="5"/>
        <v>1153147766.8600001</v>
      </c>
      <c r="I37" s="74">
        <f t="shared" si="3"/>
        <v>-553928766.47000003</v>
      </c>
      <c r="J37" s="335">
        <f t="shared" si="4"/>
        <v>-0.48036234591021904</v>
      </c>
      <c r="K37" s="146">
        <f t="shared" si="5"/>
        <v>1153147766.8600001</v>
      </c>
    </row>
    <row r="38" spans="1:12" ht="5.0999999999999996" customHeight="1">
      <c r="A38" s="43"/>
      <c r="B38" s="426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>
      <c r="A39" s="88" t="s">
        <v>603</v>
      </c>
      <c r="B39" s="426"/>
      <c r="C39" s="110">
        <f t="shared" ref="C39:H39" si="6">C23-C37</f>
        <v>0</v>
      </c>
      <c r="D39" s="52">
        <f t="shared" si="6"/>
        <v>617711.17999982834</v>
      </c>
      <c r="E39" s="51">
        <f t="shared" si="6"/>
        <v>0</v>
      </c>
      <c r="F39" s="51">
        <f t="shared" si="6"/>
        <v>-20324489.219999999</v>
      </c>
      <c r="G39" s="51">
        <f t="shared" si="6"/>
        <v>10353957.189999819</v>
      </c>
      <c r="H39" s="51">
        <f t="shared" si="6"/>
        <v>617711.17999982834</v>
      </c>
      <c r="I39" s="103">
        <f>I23-I37</f>
        <v>9736246.0099999905</v>
      </c>
      <c r="J39" s="103">
        <f t="shared" si="4"/>
        <v>15.761809604939797</v>
      </c>
      <c r="K39" s="195">
        <f>K23-K37</f>
        <v>617711.17999982834</v>
      </c>
    </row>
    <row r="40" spans="1:12" ht="12.75" customHeight="1">
      <c r="A40" s="87" t="s">
        <v>1151</v>
      </c>
      <c r="B40" s="426"/>
      <c r="C40" s="767"/>
      <c r="D40" s="764">
        <v>394023759</v>
      </c>
      <c r="E40" s="752"/>
      <c r="F40" s="752">
        <v>9754095.379999999</v>
      </c>
      <c r="G40" s="752">
        <v>124425351.55000001</v>
      </c>
      <c r="H40" s="752">
        <v>394023759</v>
      </c>
      <c r="I40" s="48">
        <f>G40-H40</f>
        <v>-269598407.44999999</v>
      </c>
      <c r="J40" s="103">
        <f t="shared" si="4"/>
        <v>-0.68421865761145639</v>
      </c>
      <c r="K40" s="754">
        <v>394023759</v>
      </c>
    </row>
    <row r="41" spans="1:12" ht="12.75" customHeight="1">
      <c r="A41" s="525" t="s">
        <v>81</v>
      </c>
      <c r="B41" s="426"/>
      <c r="C41" s="767"/>
      <c r="D41" s="764"/>
      <c r="E41" s="752"/>
      <c r="F41" s="752"/>
      <c r="G41" s="752"/>
      <c r="H41" s="752"/>
      <c r="I41" s="48">
        <f>G41-H41</f>
        <v>0</v>
      </c>
      <c r="J41" s="103" t="str">
        <f t="shared" si="4"/>
        <v/>
      </c>
      <c r="K41" s="754"/>
    </row>
    <row r="42" spans="1:12" ht="12.75" customHeight="1">
      <c r="A42" s="40" t="s">
        <v>604</v>
      </c>
      <c r="B42" s="426"/>
      <c r="C42" s="768"/>
      <c r="D42" s="769"/>
      <c r="E42" s="770"/>
      <c r="F42" s="770"/>
      <c r="G42" s="770"/>
      <c r="H42" s="770"/>
      <c r="I42" s="48">
        <f>G42-H42</f>
        <v>0</v>
      </c>
      <c r="J42" s="103" t="str">
        <f t="shared" si="4"/>
        <v/>
      </c>
      <c r="K42" s="771"/>
    </row>
    <row r="43" spans="1:12" ht="25.5">
      <c r="A43" s="251" t="s">
        <v>925</v>
      </c>
      <c r="B43" s="528"/>
      <c r="C43" s="253">
        <f t="shared" ref="C43:H43" si="7">C39+SUM(C40:C42)</f>
        <v>0</v>
      </c>
      <c r="D43" s="254">
        <f t="shared" si="7"/>
        <v>394641470.17999983</v>
      </c>
      <c r="E43" s="255">
        <f t="shared" si="7"/>
        <v>0</v>
      </c>
      <c r="F43" s="255">
        <f t="shared" si="7"/>
        <v>-10570393.84</v>
      </c>
      <c r="G43" s="255">
        <f t="shared" si="7"/>
        <v>134779308.73999983</v>
      </c>
      <c r="H43" s="255">
        <f t="shared" si="7"/>
        <v>394641470.17999983</v>
      </c>
      <c r="I43" s="333"/>
      <c r="J43" s="333"/>
      <c r="K43" s="256">
        <f>K39+SUM(K40:K42)</f>
        <v>394641470.17999983</v>
      </c>
    </row>
    <row r="44" spans="1:12" ht="12.75" customHeight="1">
      <c r="A44" s="40" t="s">
        <v>579</v>
      </c>
      <c r="B44" s="426"/>
      <c r="C44" s="768"/>
      <c r="D44" s="769"/>
      <c r="E44" s="770"/>
      <c r="F44" s="770"/>
      <c r="G44" s="770"/>
      <c r="H44" s="770"/>
      <c r="I44" s="100">
        <f>G44-H44</f>
        <v>0</v>
      </c>
      <c r="J44" s="100" t="str">
        <f>IF(I44=0,"",I44/H44)</f>
        <v/>
      </c>
      <c r="K44" s="771"/>
    </row>
    <row r="45" spans="1:12" ht="12.75" customHeight="1">
      <c r="A45" s="88" t="s">
        <v>580</v>
      </c>
      <c r="B45" s="426"/>
      <c r="C45" s="110">
        <f t="shared" ref="C45:H45" si="8">C43-C44</f>
        <v>0</v>
      </c>
      <c r="D45" s="52">
        <f t="shared" si="8"/>
        <v>394641470.17999983</v>
      </c>
      <c r="E45" s="51">
        <f t="shared" si="8"/>
        <v>0</v>
      </c>
      <c r="F45" s="51">
        <f t="shared" si="8"/>
        <v>-10570393.84</v>
      </c>
      <c r="G45" s="51">
        <f t="shared" si="8"/>
        <v>134779308.73999983</v>
      </c>
      <c r="H45" s="51">
        <f t="shared" si="8"/>
        <v>394641470.17999983</v>
      </c>
      <c r="I45" s="331"/>
      <c r="J45" s="331"/>
      <c r="K45" s="195">
        <f>K43-K44</f>
        <v>394641470.17999983</v>
      </c>
    </row>
    <row r="46" spans="1:12" ht="12.75" customHeight="1">
      <c r="A46" s="40" t="s">
        <v>581</v>
      </c>
      <c r="B46" s="426"/>
      <c r="C46" s="767"/>
      <c r="D46" s="764"/>
      <c r="E46" s="752"/>
      <c r="F46" s="752"/>
      <c r="G46" s="752"/>
      <c r="H46" s="752"/>
      <c r="I46" s="274"/>
      <c r="J46" s="274"/>
      <c r="K46" s="754"/>
    </row>
    <row r="47" spans="1:12" ht="12.75" customHeight="1">
      <c r="A47" s="534" t="s">
        <v>177</v>
      </c>
      <c r="B47" s="433"/>
      <c r="C47" s="536">
        <f t="shared" ref="C47:H47" si="9">SUM(C45:C46)</f>
        <v>0</v>
      </c>
      <c r="D47" s="537">
        <f t="shared" si="9"/>
        <v>394641470.17999983</v>
      </c>
      <c r="E47" s="535">
        <f t="shared" si="9"/>
        <v>0</v>
      </c>
      <c r="F47" s="535">
        <f t="shared" si="9"/>
        <v>-10570393.84</v>
      </c>
      <c r="G47" s="535">
        <f t="shared" si="9"/>
        <v>134779308.73999983</v>
      </c>
      <c r="H47" s="535">
        <f t="shared" si="9"/>
        <v>394641470.17999983</v>
      </c>
      <c r="I47" s="274"/>
      <c r="J47" s="274"/>
      <c r="K47" s="536">
        <f>SUM(K45:K46)</f>
        <v>394641470.17999983</v>
      </c>
      <c r="L47" s="101"/>
    </row>
    <row r="48" spans="1:12" ht="12.75" customHeight="1">
      <c r="A48" s="257" t="s">
        <v>592</v>
      </c>
      <c r="B48" s="527"/>
      <c r="C48" s="768"/>
      <c r="D48" s="769"/>
      <c r="E48" s="770"/>
      <c r="F48" s="770"/>
      <c r="G48" s="770"/>
      <c r="H48" s="770"/>
      <c r="I48" s="332"/>
      <c r="J48" s="332"/>
      <c r="K48" s="771"/>
    </row>
    <row r="49" spans="1:256" ht="12.75" customHeight="1">
      <c r="A49" s="95" t="s">
        <v>1080</v>
      </c>
      <c r="B49" s="425"/>
      <c r="C49" s="245">
        <f t="shared" ref="C49:H49" si="10">C47+C48</f>
        <v>0</v>
      </c>
      <c r="D49" s="78">
        <f t="shared" si="10"/>
        <v>394641470.17999983</v>
      </c>
      <c r="E49" s="77">
        <f t="shared" si="10"/>
        <v>0</v>
      </c>
      <c r="F49" s="77">
        <f t="shared" si="10"/>
        <v>-10570393.84</v>
      </c>
      <c r="G49" s="77">
        <f t="shared" si="10"/>
        <v>134779308.73999983</v>
      </c>
      <c r="H49" s="77">
        <f t="shared" si="10"/>
        <v>394641470.17999983</v>
      </c>
      <c r="I49" s="338"/>
      <c r="J49" s="338"/>
      <c r="K49" s="235">
        <f>K47+K48</f>
        <v>394641470.17999983</v>
      </c>
    </row>
    <row r="50" spans="1:256" ht="12.75" customHeight="1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>
      <c r="A51" s="81" t="s">
        <v>178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>
      <c r="A54" s="418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1">C23+SUM(C40:C42)</f>
        <v>0</v>
      </c>
      <c r="D54" s="63">
        <f t="shared" si="11"/>
        <v>1547789237.04</v>
      </c>
      <c r="E54" s="63">
        <f t="shared" si="11"/>
        <v>0</v>
      </c>
      <c r="F54" s="63">
        <f t="shared" si="11"/>
        <v>53218869.38000001</v>
      </c>
      <c r="G54" s="63">
        <f t="shared" si="11"/>
        <v>733998309.12999988</v>
      </c>
      <c r="H54" s="63">
        <f t="shared" si="11"/>
        <v>1547789237.04</v>
      </c>
      <c r="I54" s="63"/>
      <c r="J54" s="63"/>
      <c r="K54" s="63">
        <f>K23+SUM(K40:K42)</f>
        <v>1547789237.04</v>
      </c>
    </row>
    <row r="55" spans="1:256" ht="11.25" customHeight="1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>
      <c r="A58" s="66"/>
      <c r="B58" s="65"/>
      <c r="C58" s="704"/>
      <c r="D58" s="704"/>
      <c r="E58" s="704"/>
      <c r="F58" s="704"/>
      <c r="G58" s="704"/>
      <c r="H58" s="704"/>
      <c r="I58" s="704"/>
      <c r="J58" s="704"/>
      <c r="K58" s="704"/>
    </row>
    <row r="59" spans="1:256" ht="11.25" customHeight="1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>
      <c r="B60" s="25"/>
    </row>
    <row r="61" spans="1:256" ht="11.25" customHeight="1">
      <c r="B61" s="25"/>
    </row>
    <row r="62" spans="1:256" ht="11.25" customHeight="1">
      <c r="B62" s="25"/>
    </row>
    <row r="63" spans="1:256" ht="11.25" customHeight="1">
      <c r="B63" s="25"/>
    </row>
    <row r="64" spans="1:256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>
      <c r="B84" s="25"/>
    </row>
    <row r="85" spans="2:2" ht="11.25" customHeight="1">
      <c r="B85" s="25"/>
    </row>
    <row r="86" spans="2:2" ht="11.25" customHeight="1">
      <c r="B86" s="25"/>
    </row>
    <row r="87" spans="2:2" ht="11.25" customHeight="1">
      <c r="B87" s="25"/>
    </row>
    <row r="88" spans="2:2" ht="11.25" customHeight="1">
      <c r="B88" s="25"/>
    </row>
    <row r="89" spans="2:2" ht="11.25" customHeight="1">
      <c r="B89" s="25"/>
    </row>
    <row r="90" spans="2:2" ht="11.25" customHeight="1">
      <c r="B90" s="25"/>
    </row>
    <row r="91" spans="2:2" ht="11.25" customHeight="1">
      <c r="B91" s="25"/>
    </row>
    <row r="92" spans="2:2" ht="11.25" customHeight="1">
      <c r="B92" s="25"/>
    </row>
    <row r="93" spans="2:2" ht="11.25" customHeight="1"/>
    <row r="94" spans="2:2" ht="11.25" customHeight="1"/>
  </sheetData>
  <sheetProtection password="C646" sheet="1" objects="1" scenarios="1"/>
  <mergeCells count="4">
    <mergeCell ref="A2:A3"/>
    <mergeCell ref="B2:B3"/>
    <mergeCell ref="D2:K2"/>
    <mergeCell ref="A1:K1"/>
  </mergeCells>
  <phoneticPr fontId="3" type="noConversion"/>
  <printOptions horizontalCentered="1"/>
  <pageMargins left="0.35433070866141736" right="0.15748031496062992" top="0.78740157480314965" bottom="0.61" header="0.51181102362204722" footer="0.39370078740157483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="110" zoomScaleNormal="100" zoomScaleSheetLayoutView="110" workbookViewId="0">
      <pane xSplit="2" ySplit="4" topLeftCell="C47" activePane="bottomRight" state="frozen"/>
      <selection activeCell="B2" sqref="B2"/>
      <selection pane="topRight" activeCell="B2" sqref="B2"/>
      <selection pane="bottomLeft" activeCell="B2" sqref="B2"/>
      <selection pane="bottomRight" activeCell="F74" sqref="F74"/>
    </sheetView>
  </sheetViews>
  <sheetFormatPr defaultRowHeight="12.7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>
      <c r="A1" s="985" t="str">
        <f>muni&amp; " - "&amp;S71D&amp; " - "&amp;date</f>
        <v>FS194 Maluti-a-Phofung - Table C5 Consolidated Monthly Budget Statement - Capital Expenditure (municipal vote, standard classification and funding  - M07 January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2">
      <c r="A2" s="983" t="str">
        <f>Vdesc</f>
        <v>Vote Description</v>
      </c>
      <c r="B2" s="992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2" ht="25.5">
      <c r="A3" s="984"/>
      <c r="B3" s="993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>
      <c r="A4" s="35" t="s">
        <v>821</v>
      </c>
      <c r="B4" s="425">
        <v>1</v>
      </c>
      <c r="C4" s="188"/>
      <c r="D4" s="247"/>
      <c r="E4" s="242"/>
      <c r="F4" s="83"/>
      <c r="G4" s="83"/>
      <c r="H4" s="83"/>
      <c r="I4" s="83"/>
      <c r="J4" s="243" t="s">
        <v>723</v>
      </c>
      <c r="K4" s="224"/>
    </row>
    <row r="5" spans="1:12" ht="11.25" customHeight="1">
      <c r="A5" s="183" t="s">
        <v>816</v>
      </c>
      <c r="B5" s="526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>
      <c r="A6" s="414" t="str">
        <f>'Org structure'!A2</f>
        <v>Vote 1 - Legislative Authority</v>
      </c>
      <c r="B6" s="426"/>
      <c r="C6" s="538">
        <f>'C5C'!C7</f>
        <v>0</v>
      </c>
      <c r="D6" s="539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4" t="str">
        <f>IF(I6=0,"",I6/H6)</f>
        <v/>
      </c>
      <c r="K6" s="145">
        <f>'C5C'!K7</f>
        <v>0</v>
      </c>
      <c r="L6" s="101"/>
    </row>
    <row r="7" spans="1:12" ht="13.5" customHeight="1">
      <c r="A7" s="414" t="str">
        <f>'Org structure'!A3</f>
        <v>Vote 2 - Office of the Municipal Manager</v>
      </c>
      <c r="B7" s="426"/>
      <c r="C7" s="662">
        <f>'C5C'!C18</f>
        <v>0</v>
      </c>
      <c r="D7" s="684">
        <f>'C5C'!D18</f>
        <v>0</v>
      </c>
      <c r="E7" s="415">
        <f>'C5C'!E18</f>
        <v>0</v>
      </c>
      <c r="F7" s="415">
        <f>'C5C'!F18</f>
        <v>0</v>
      </c>
      <c r="G7" s="415">
        <f>'C5C'!G18</f>
        <v>0</v>
      </c>
      <c r="H7" s="415">
        <f>'C5C'!H18</f>
        <v>0</v>
      </c>
      <c r="I7" s="45">
        <f>G7-H7</f>
        <v>0</v>
      </c>
      <c r="J7" s="334" t="str">
        <f>IF(I7=0,"",I7/H7)</f>
        <v/>
      </c>
      <c r="K7" s="656">
        <f>'C5C'!K18</f>
        <v>0</v>
      </c>
      <c r="L7" s="101"/>
    </row>
    <row r="8" spans="1:12" ht="13.5" customHeight="1">
      <c r="A8" s="414" t="str">
        <f>'Org structure'!A4</f>
        <v>Vote 3 - Corporate Services</v>
      </c>
      <c r="B8" s="426"/>
      <c r="C8" s="662">
        <f>'C5C'!C29</f>
        <v>0</v>
      </c>
      <c r="D8" s="684">
        <f>'C5C'!D29</f>
        <v>0</v>
      </c>
      <c r="E8" s="415">
        <f>'C5C'!E29</f>
        <v>0</v>
      </c>
      <c r="F8" s="415">
        <f>'C5C'!F29</f>
        <v>0</v>
      </c>
      <c r="G8" s="415">
        <f>'C5C'!G29</f>
        <v>0</v>
      </c>
      <c r="H8" s="415">
        <f>'C5C'!H29</f>
        <v>0</v>
      </c>
      <c r="I8" s="45">
        <f t="shared" ref="I8:I17" si="0">G8-H8</f>
        <v>0</v>
      </c>
      <c r="J8" s="334" t="str">
        <f t="shared" ref="J8:J17" si="1">IF(I8=0,"",I8/H8)</f>
        <v/>
      </c>
      <c r="K8" s="656">
        <f>'C5C'!K29</f>
        <v>0</v>
      </c>
      <c r="L8" s="712"/>
    </row>
    <row r="9" spans="1:12" ht="13.5" customHeight="1">
      <c r="A9" s="414" t="str">
        <f>'Org structure'!A5</f>
        <v>Vote 4 - Financial Services</v>
      </c>
      <c r="B9" s="426"/>
      <c r="C9" s="662">
        <f>'C5C'!C40</f>
        <v>0</v>
      </c>
      <c r="D9" s="684">
        <f>'C5C'!D40</f>
        <v>0</v>
      </c>
      <c r="E9" s="415">
        <f>'C5C'!E40</f>
        <v>0</v>
      </c>
      <c r="F9" s="415">
        <f>'C5C'!F40</f>
        <v>0</v>
      </c>
      <c r="G9" s="415">
        <f>'C5C'!G40</f>
        <v>0</v>
      </c>
      <c r="H9" s="415">
        <f>'C5C'!H40</f>
        <v>0</v>
      </c>
      <c r="I9" s="45">
        <f t="shared" si="0"/>
        <v>0</v>
      </c>
      <c r="J9" s="334" t="str">
        <f t="shared" si="1"/>
        <v/>
      </c>
      <c r="K9" s="656">
        <f>'C5C'!K40</f>
        <v>0</v>
      </c>
      <c r="L9" s="712"/>
    </row>
    <row r="10" spans="1:12" ht="13.5" customHeight="1">
      <c r="A10" s="414" t="str">
        <f>'Org structure'!A6</f>
        <v>Vote 5 - Municipal Infrastructure</v>
      </c>
      <c r="B10" s="426"/>
      <c r="C10" s="662">
        <f>'C5C'!C51</f>
        <v>0</v>
      </c>
      <c r="D10" s="684">
        <f>'C5C'!D51</f>
        <v>207841759</v>
      </c>
      <c r="E10" s="415">
        <f>'C5C'!E51</f>
        <v>0</v>
      </c>
      <c r="F10" s="415">
        <f>'C5C'!F51</f>
        <v>7637844.7800000003</v>
      </c>
      <c r="G10" s="415">
        <f>'C5C'!G51</f>
        <v>76943639.790000007</v>
      </c>
      <c r="H10" s="415">
        <f>'C5C'!H51</f>
        <v>207841759</v>
      </c>
      <c r="I10" s="45">
        <f t="shared" si="0"/>
        <v>-130898119.20999999</v>
      </c>
      <c r="J10" s="334">
        <f t="shared" si="1"/>
        <v>-0.62979701403508614</v>
      </c>
      <c r="K10" s="656">
        <f>'C5C'!K51</f>
        <v>207841759</v>
      </c>
      <c r="L10" s="712"/>
    </row>
    <row r="11" spans="1:12" ht="13.5" customHeight="1">
      <c r="A11" s="414" t="str">
        <f>'Org structure'!A7</f>
        <v>Vote 6 - Community Services</v>
      </c>
      <c r="B11" s="426"/>
      <c r="C11" s="662">
        <f>'C5C'!C62</f>
        <v>0</v>
      </c>
      <c r="D11" s="684">
        <f>'C5C'!D62</f>
        <v>0</v>
      </c>
      <c r="E11" s="415">
        <f>'C5C'!E62</f>
        <v>0</v>
      </c>
      <c r="F11" s="415">
        <f>'C5C'!F62</f>
        <v>0</v>
      </c>
      <c r="G11" s="415">
        <f>'C5C'!G62</f>
        <v>0</v>
      </c>
      <c r="H11" s="415">
        <f>'C5C'!H62</f>
        <v>0</v>
      </c>
      <c r="I11" s="45">
        <f t="shared" si="0"/>
        <v>0</v>
      </c>
      <c r="J11" s="334" t="str">
        <f t="shared" si="1"/>
        <v/>
      </c>
      <c r="K11" s="656">
        <f>'C5C'!K62</f>
        <v>0</v>
      </c>
      <c r="L11" s="712"/>
    </row>
    <row r="12" spans="1:12" ht="13.5" customHeight="1">
      <c r="A12" s="414" t="str">
        <f>'Org structure'!A8</f>
        <v>Vote 7 - Public Safety</v>
      </c>
      <c r="B12" s="426"/>
      <c r="C12" s="662">
        <f>'C5C'!C73</f>
        <v>0</v>
      </c>
      <c r="D12" s="684">
        <f>'C5C'!D73</f>
        <v>0</v>
      </c>
      <c r="E12" s="415">
        <f>'C5C'!E73</f>
        <v>0</v>
      </c>
      <c r="F12" s="415">
        <f>'C5C'!F73</f>
        <v>0</v>
      </c>
      <c r="G12" s="415">
        <f>'C5C'!G73</f>
        <v>0</v>
      </c>
      <c r="H12" s="415">
        <f>'C5C'!H73</f>
        <v>0</v>
      </c>
      <c r="I12" s="45">
        <f t="shared" si="0"/>
        <v>0</v>
      </c>
      <c r="J12" s="334" t="str">
        <f t="shared" si="1"/>
        <v/>
      </c>
      <c r="K12" s="656">
        <f>'C5C'!K73</f>
        <v>0</v>
      </c>
      <c r="L12" s="712"/>
    </row>
    <row r="13" spans="1:12" ht="13.5" customHeight="1">
      <c r="A13" s="414" t="str">
        <f>'Org structure'!A9</f>
        <v>Vote 8 - Parks, Sports &amp; Recreation</v>
      </c>
      <c r="B13" s="426"/>
      <c r="C13" s="662">
        <f>'C5C'!C84</f>
        <v>0</v>
      </c>
      <c r="D13" s="684">
        <f>'C5C'!D84</f>
        <v>0</v>
      </c>
      <c r="E13" s="415">
        <f>'C5C'!E84</f>
        <v>0</v>
      </c>
      <c r="F13" s="415">
        <f>'C5C'!F84</f>
        <v>0</v>
      </c>
      <c r="G13" s="415">
        <f>'C5C'!G84</f>
        <v>0</v>
      </c>
      <c r="H13" s="415">
        <f>'C5C'!H84</f>
        <v>0</v>
      </c>
      <c r="I13" s="45">
        <f t="shared" si="0"/>
        <v>0</v>
      </c>
      <c r="J13" s="334" t="str">
        <f t="shared" si="1"/>
        <v/>
      </c>
      <c r="K13" s="656">
        <f>'C5C'!K84</f>
        <v>0</v>
      </c>
      <c r="L13" s="712"/>
    </row>
    <row r="14" spans="1:12" ht="13.5" customHeight="1">
      <c r="A14" s="414" t="str">
        <f>'Org structure'!A10</f>
        <v>Vote 9 - LED &amp; Tourism</v>
      </c>
      <c r="B14" s="426"/>
      <c r="C14" s="662">
        <f>'C5C'!C95</f>
        <v>0</v>
      </c>
      <c r="D14" s="684">
        <f>'C5C'!D95</f>
        <v>0</v>
      </c>
      <c r="E14" s="415">
        <f>'C5C'!E95</f>
        <v>0</v>
      </c>
      <c r="F14" s="415">
        <f>'C5C'!F95</f>
        <v>0</v>
      </c>
      <c r="G14" s="415">
        <f>'C5C'!G95</f>
        <v>0</v>
      </c>
      <c r="H14" s="415">
        <f>'C5C'!H95</f>
        <v>0</v>
      </c>
      <c r="I14" s="45">
        <f t="shared" si="0"/>
        <v>0</v>
      </c>
      <c r="J14" s="334" t="str">
        <f t="shared" si="1"/>
        <v/>
      </c>
      <c r="K14" s="656">
        <f>'C5C'!K95</f>
        <v>0</v>
      </c>
      <c r="L14" s="712"/>
    </row>
    <row r="15" spans="1:12" ht="13.5" customHeight="1">
      <c r="A15" s="414" t="str">
        <f>'Org structure'!A11</f>
        <v>Vote 10 - Housing Spatial Development &amp; Planning</v>
      </c>
      <c r="B15" s="426"/>
      <c r="C15" s="662">
        <f>'C5C'!C106</f>
        <v>0</v>
      </c>
      <c r="D15" s="684">
        <f>'C5C'!D106</f>
        <v>0</v>
      </c>
      <c r="E15" s="415">
        <f>'C5C'!E106</f>
        <v>0</v>
      </c>
      <c r="F15" s="415">
        <f>'C5C'!F106</f>
        <v>0</v>
      </c>
      <c r="G15" s="415">
        <f>'C5C'!G106</f>
        <v>0</v>
      </c>
      <c r="H15" s="415">
        <f>'C5C'!H106</f>
        <v>0</v>
      </c>
      <c r="I15" s="45">
        <f t="shared" si="0"/>
        <v>0</v>
      </c>
      <c r="J15" s="334" t="str">
        <f t="shared" si="1"/>
        <v/>
      </c>
      <c r="K15" s="656">
        <f>'C5C'!K106</f>
        <v>0</v>
      </c>
      <c r="L15" s="712"/>
    </row>
    <row r="16" spans="1:12" ht="13.5" customHeight="1">
      <c r="A16" s="414" t="str">
        <f>'Org structure'!A12</f>
        <v>Vote 11 - Water &amp; Sanitation</v>
      </c>
      <c r="B16" s="426"/>
      <c r="C16" s="662">
        <f>'C5C'!C117</f>
        <v>0</v>
      </c>
      <c r="D16" s="684">
        <f>'C5C'!D117</f>
        <v>0</v>
      </c>
      <c r="E16" s="415">
        <f>'C5C'!E117</f>
        <v>0</v>
      </c>
      <c r="F16" s="415">
        <f>'C5C'!F117</f>
        <v>0</v>
      </c>
      <c r="G16" s="415">
        <f>'C5C'!G117</f>
        <v>0</v>
      </c>
      <c r="H16" s="415">
        <f>'C5C'!H117</f>
        <v>0</v>
      </c>
      <c r="I16" s="45">
        <f t="shared" si="0"/>
        <v>0</v>
      </c>
      <c r="J16" s="334" t="str">
        <f t="shared" si="1"/>
        <v/>
      </c>
      <c r="K16" s="656">
        <f>'C5C'!K117</f>
        <v>0</v>
      </c>
      <c r="L16" s="712"/>
    </row>
    <row r="17" spans="1:12" ht="13.5" customHeight="1">
      <c r="A17" s="414" t="str">
        <f>'Org structure'!A13</f>
        <v>Vote 12 - Water</v>
      </c>
      <c r="B17" s="426"/>
      <c r="C17" s="662">
        <f>'C5C'!C128</f>
        <v>0</v>
      </c>
      <c r="D17" s="684">
        <f>'C5C'!D128</f>
        <v>44620000</v>
      </c>
      <c r="E17" s="415">
        <f>'C5C'!E128</f>
        <v>0</v>
      </c>
      <c r="F17" s="415">
        <f>'C5C'!F128</f>
        <v>2114950.6</v>
      </c>
      <c r="G17" s="415">
        <f>'C5C'!G128</f>
        <v>37790171.600000001</v>
      </c>
      <c r="H17" s="415">
        <f>'C5C'!H128</f>
        <v>44620000</v>
      </c>
      <c r="I17" s="45">
        <f t="shared" si="0"/>
        <v>-6829828.3999999985</v>
      </c>
      <c r="J17" s="334">
        <f t="shared" si="1"/>
        <v>-0.15306652622142533</v>
      </c>
      <c r="K17" s="656">
        <f>'C5C'!K128</f>
        <v>44620000</v>
      </c>
      <c r="L17" s="712"/>
    </row>
    <row r="18" spans="1:12" ht="13.5" customHeight="1">
      <c r="A18" s="414" t="str">
        <f>'Org structure'!A14</f>
        <v xml:space="preserve">Vote 13 - </v>
      </c>
      <c r="B18" s="426"/>
      <c r="C18" s="662">
        <f>'C5C'!C139</f>
        <v>0</v>
      </c>
      <c r="D18" s="684">
        <f>'C5C'!D139</f>
        <v>0</v>
      </c>
      <c r="E18" s="415">
        <f>'C5C'!E139</f>
        <v>0</v>
      </c>
      <c r="F18" s="415">
        <f>'C5C'!F139</f>
        <v>0</v>
      </c>
      <c r="G18" s="415">
        <f>'C5C'!G139</f>
        <v>0</v>
      </c>
      <c r="H18" s="415">
        <f>'C5C'!H139</f>
        <v>0</v>
      </c>
      <c r="I18" s="45">
        <f>G18-H18</f>
        <v>0</v>
      </c>
      <c r="J18" s="334" t="str">
        <f>IF(I18=0,"",I18/H18)</f>
        <v/>
      </c>
      <c r="K18" s="656">
        <f>'C5C'!K139</f>
        <v>0</v>
      </c>
      <c r="L18" s="712"/>
    </row>
    <row r="19" spans="1:12" ht="13.5" customHeight="1">
      <c r="A19" s="414" t="str">
        <f>'Org structure'!A15</f>
        <v xml:space="preserve">Vote 14 - </v>
      </c>
      <c r="B19" s="426"/>
      <c r="C19" s="662">
        <f>'C5C'!C150</f>
        <v>0</v>
      </c>
      <c r="D19" s="684">
        <f>'C5C'!D150</f>
        <v>0</v>
      </c>
      <c r="E19" s="415">
        <f>'C5C'!E150</f>
        <v>0</v>
      </c>
      <c r="F19" s="415">
        <f>'C5C'!F150</f>
        <v>0</v>
      </c>
      <c r="G19" s="415">
        <f>'C5C'!G150</f>
        <v>0</v>
      </c>
      <c r="H19" s="415">
        <f>'C5C'!H150</f>
        <v>0</v>
      </c>
      <c r="I19" s="45">
        <f>G19-H19</f>
        <v>0</v>
      </c>
      <c r="J19" s="334" t="str">
        <f>IF(I19=0,"",I19/H19)</f>
        <v/>
      </c>
      <c r="K19" s="656">
        <f>'C5C'!K150</f>
        <v>0</v>
      </c>
      <c r="L19" s="712"/>
    </row>
    <row r="20" spans="1:12" ht="13.5" customHeight="1">
      <c r="A20" s="414" t="str">
        <f>'Org structure'!A16</f>
        <v xml:space="preserve">Vote 15 - </v>
      </c>
      <c r="B20" s="426"/>
      <c r="C20" s="662">
        <f>'C5C'!C161</f>
        <v>0</v>
      </c>
      <c r="D20" s="684">
        <f>'C5C'!D161</f>
        <v>0</v>
      </c>
      <c r="E20" s="415">
        <f>'C5C'!E161</f>
        <v>0</v>
      </c>
      <c r="F20" s="415">
        <f>'C5C'!F161</f>
        <v>0</v>
      </c>
      <c r="G20" s="415">
        <f>'C5C'!G161</f>
        <v>0</v>
      </c>
      <c r="H20" s="415">
        <f>'C5C'!H161</f>
        <v>0</v>
      </c>
      <c r="I20" s="45">
        <f>G20-H20</f>
        <v>0</v>
      </c>
      <c r="J20" s="334" t="str">
        <f>IF(I20=0,"",I20/H20)</f>
        <v/>
      </c>
      <c r="K20" s="656">
        <f>'C5C'!K161</f>
        <v>0</v>
      </c>
      <c r="L20" s="712"/>
    </row>
    <row r="21" spans="1:12" ht="12.75" customHeight="1">
      <c r="A21" s="88" t="s">
        <v>932</v>
      </c>
      <c r="B21" s="426" t="s">
        <v>658</v>
      </c>
      <c r="C21" s="523">
        <f>SUM(C6:C20)</f>
        <v>0</v>
      </c>
      <c r="D21" s="552">
        <f t="shared" ref="D21:I21" si="2">SUM(D6:D20)</f>
        <v>252461759</v>
      </c>
      <c r="E21" s="437">
        <f t="shared" si="2"/>
        <v>0</v>
      </c>
      <c r="F21" s="437">
        <f t="shared" si="2"/>
        <v>9752795.3800000008</v>
      </c>
      <c r="G21" s="437">
        <f t="shared" si="2"/>
        <v>114733811.39000002</v>
      </c>
      <c r="H21" s="437">
        <f t="shared" si="2"/>
        <v>252461759</v>
      </c>
      <c r="I21" s="437">
        <f t="shared" si="2"/>
        <v>-137727947.60999998</v>
      </c>
      <c r="J21" s="438">
        <f>IF(I21=0,"",I21/H21)</f>
        <v>-0.54553983999612388</v>
      </c>
      <c r="K21" s="520">
        <f>SUM(K6:K20)</f>
        <v>252461759</v>
      </c>
      <c r="L21" s="101"/>
    </row>
    <row r="22" spans="1:12" ht="5.0999999999999996" customHeight="1">
      <c r="A22" s="43"/>
      <c r="B22" s="426"/>
      <c r="C22" s="135"/>
      <c r="D22" s="259"/>
      <c r="E22" s="45"/>
      <c r="F22" s="45"/>
      <c r="G22" s="45"/>
      <c r="H22" s="45"/>
      <c r="I22" s="45"/>
      <c r="J22" s="334"/>
      <c r="K22" s="145"/>
      <c r="L22" s="101"/>
    </row>
    <row r="23" spans="1:12" ht="12.75" customHeight="1">
      <c r="A23" s="36" t="s">
        <v>587</v>
      </c>
      <c r="B23" s="426">
        <v>2</v>
      </c>
      <c r="C23" s="135"/>
      <c r="D23" s="259"/>
      <c r="E23" s="45"/>
      <c r="F23" s="45"/>
      <c r="G23" s="45"/>
      <c r="H23" s="45"/>
      <c r="I23" s="45"/>
      <c r="J23" s="334"/>
      <c r="K23" s="145"/>
      <c r="L23" s="101"/>
    </row>
    <row r="24" spans="1:12" ht="12.75" customHeight="1">
      <c r="A24" s="414" t="str">
        <f>'Org structure'!A2</f>
        <v>Vote 1 - Legislative Authority</v>
      </c>
      <c r="B24" s="426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4" t="str">
        <f>IF(I24=0,"",I24/H24)</f>
        <v/>
      </c>
      <c r="K24" s="145">
        <f>'C5C'!K176</f>
        <v>0</v>
      </c>
      <c r="L24" s="101"/>
    </row>
    <row r="25" spans="1:12" ht="12.75" customHeight="1">
      <c r="A25" s="414" t="str">
        <f>'Org structure'!A3</f>
        <v>Vote 2 - Office of the Municipal Manager</v>
      </c>
      <c r="B25" s="426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4" t="str">
        <f t="shared" ref="J25:J39" si="3">IF(I25=0,"",I25/H25)</f>
        <v/>
      </c>
      <c r="K25" s="145">
        <f>'C5C'!K187</f>
        <v>0</v>
      </c>
      <c r="L25" s="101"/>
    </row>
    <row r="26" spans="1:12" ht="12.75" customHeight="1">
      <c r="A26" s="414" t="str">
        <f>'Org structure'!A4</f>
        <v>Vote 3 - Corporate Services</v>
      </c>
      <c r="B26" s="426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4" t="str">
        <f t="shared" si="3"/>
        <v/>
      </c>
      <c r="K26" s="145">
        <f>'C5C'!K198</f>
        <v>0</v>
      </c>
      <c r="L26" s="712"/>
    </row>
    <row r="27" spans="1:12" ht="12.75" customHeight="1">
      <c r="A27" s="414" t="str">
        <f>'Org structure'!A5</f>
        <v>Vote 4 - Financial Services</v>
      </c>
      <c r="B27" s="426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4" t="str">
        <f t="shared" si="3"/>
        <v/>
      </c>
      <c r="K27" s="145">
        <f>'C5C'!K209</f>
        <v>0</v>
      </c>
      <c r="L27" s="712"/>
    </row>
    <row r="28" spans="1:12" ht="12.75" customHeight="1">
      <c r="A28" s="414" t="str">
        <f>'Org structure'!A6</f>
        <v>Vote 5 - Municipal Infrastructure</v>
      </c>
      <c r="B28" s="426"/>
      <c r="C28" s="135">
        <f>'C5C'!C220</f>
        <v>0</v>
      </c>
      <c r="D28" s="259">
        <f>'C5C'!D220</f>
        <v>108562000</v>
      </c>
      <c r="E28" s="45">
        <f>'C5C'!E220</f>
        <v>0</v>
      </c>
      <c r="F28" s="45">
        <f>'C5C'!F220</f>
        <v>1300</v>
      </c>
      <c r="G28" s="45">
        <f>'C5C'!G220</f>
        <v>7696245.96</v>
      </c>
      <c r="H28" s="45">
        <f>'C5C'!H220</f>
        <v>108562000</v>
      </c>
      <c r="I28" s="45">
        <f>'C5C'!I220</f>
        <v>-100865754.04000001</v>
      </c>
      <c r="J28" s="334">
        <f t="shared" si="3"/>
        <v>-0.92910736758718526</v>
      </c>
      <c r="K28" s="145">
        <f>'C5C'!K220</f>
        <v>108562000</v>
      </c>
      <c r="L28" s="712"/>
    </row>
    <row r="29" spans="1:12" ht="12.75" customHeight="1">
      <c r="A29" s="414" t="str">
        <f>'Org structure'!A7</f>
        <v>Vote 6 - Community Services</v>
      </c>
      <c r="B29" s="426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4" t="str">
        <f t="shared" si="3"/>
        <v/>
      </c>
      <c r="K29" s="145">
        <f>'C5C'!K231</f>
        <v>0</v>
      </c>
      <c r="L29" s="712"/>
    </row>
    <row r="30" spans="1:12" ht="12.75" customHeight="1">
      <c r="A30" s="414" t="str">
        <f>'Org structure'!A8</f>
        <v>Vote 7 - Public Safety</v>
      </c>
      <c r="B30" s="426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4" t="str">
        <f t="shared" si="3"/>
        <v/>
      </c>
      <c r="K30" s="145">
        <f>'C5C'!K242</f>
        <v>0</v>
      </c>
      <c r="L30" s="712"/>
    </row>
    <row r="31" spans="1:12" ht="12.75" customHeight="1">
      <c r="A31" s="414" t="str">
        <f>'Org structure'!A9</f>
        <v>Vote 8 - Parks, Sports &amp; Recreation</v>
      </c>
      <c r="B31" s="426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4" t="str">
        <f t="shared" si="3"/>
        <v/>
      </c>
      <c r="K31" s="145">
        <f>'C5C'!K253</f>
        <v>0</v>
      </c>
      <c r="L31" s="712"/>
    </row>
    <row r="32" spans="1:12" ht="12.75" customHeight="1">
      <c r="A32" s="414" t="str">
        <f>'Org structure'!A10</f>
        <v>Vote 9 - LED &amp; Tourism</v>
      </c>
      <c r="B32" s="426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4" t="str">
        <f t="shared" si="3"/>
        <v/>
      </c>
      <c r="K32" s="145">
        <f>'C5C'!K264</f>
        <v>0</v>
      </c>
      <c r="L32" s="712"/>
    </row>
    <row r="33" spans="1:12" ht="12.75" customHeight="1">
      <c r="A33" s="414" t="str">
        <f>'Org structure'!A11</f>
        <v>Vote 10 - Housing Spatial Development &amp; Planning</v>
      </c>
      <c r="B33" s="426"/>
      <c r="C33" s="135">
        <f>'C5C'!C275</f>
        <v>0</v>
      </c>
      <c r="D33" s="259">
        <f>'C5C'!D275</f>
        <v>23000000</v>
      </c>
      <c r="E33" s="45">
        <f>'C5C'!E275</f>
        <v>0</v>
      </c>
      <c r="F33" s="45">
        <f>'C5C'!F275</f>
        <v>0</v>
      </c>
      <c r="G33" s="45">
        <f>'C5C'!G275</f>
        <v>995295.62999999989</v>
      </c>
      <c r="H33" s="45">
        <f>'C5C'!H275</f>
        <v>23000000</v>
      </c>
      <c r="I33" s="45">
        <f>'C5C'!I275</f>
        <v>-22004704.370000001</v>
      </c>
      <c r="J33" s="334">
        <f t="shared" si="3"/>
        <v>-0.95672627695652179</v>
      </c>
      <c r="K33" s="145">
        <f>'C5C'!K275</f>
        <v>23000000</v>
      </c>
      <c r="L33" s="712"/>
    </row>
    <row r="34" spans="1:12" ht="12.75" customHeight="1">
      <c r="A34" s="414" t="str">
        <f>'Org structure'!A12</f>
        <v>Vote 11 - Water &amp; Sanitation</v>
      </c>
      <c r="B34" s="426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4" t="str">
        <f t="shared" si="3"/>
        <v/>
      </c>
      <c r="K34" s="145">
        <f>'C5C'!K286</f>
        <v>0</v>
      </c>
      <c r="L34" s="712"/>
    </row>
    <row r="35" spans="1:12" ht="12.75" customHeight="1">
      <c r="A35" s="414" t="str">
        <f>'Org structure'!A13</f>
        <v>Vote 12 - Water</v>
      </c>
      <c r="B35" s="426"/>
      <c r="C35" s="135">
        <f>'C5C'!C297</f>
        <v>0</v>
      </c>
      <c r="D35" s="259">
        <f>'C5C'!D297</f>
        <v>10000000</v>
      </c>
      <c r="E35" s="45">
        <f>'C5C'!E297</f>
        <v>0</v>
      </c>
      <c r="F35" s="45">
        <f>'C5C'!F297</f>
        <v>0</v>
      </c>
      <c r="G35" s="45">
        <f>'C5C'!G297</f>
        <v>999998.57000000007</v>
      </c>
      <c r="H35" s="45">
        <f>'C5C'!H297</f>
        <v>10000000</v>
      </c>
      <c r="I35" s="45">
        <f>'C5C'!I297</f>
        <v>-9000001.4299999997</v>
      </c>
      <c r="J35" s="334">
        <f t="shared" si="3"/>
        <v>-0.90000014299999997</v>
      </c>
      <c r="K35" s="145">
        <f>'C5C'!K297</f>
        <v>10000000</v>
      </c>
      <c r="L35" s="712"/>
    </row>
    <row r="36" spans="1:12" ht="12.75" customHeight="1">
      <c r="A36" s="414" t="str">
        <f>'Org structure'!A14</f>
        <v xml:space="preserve">Vote 13 - </v>
      </c>
      <c r="B36" s="426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4" t="str">
        <f t="shared" si="3"/>
        <v/>
      </c>
      <c r="K36" s="145">
        <f>'C5C'!K308</f>
        <v>0</v>
      </c>
      <c r="L36" s="712"/>
    </row>
    <row r="37" spans="1:12" ht="12.75" customHeight="1">
      <c r="A37" s="414" t="str">
        <f>'Org structure'!A15</f>
        <v xml:space="preserve">Vote 14 - </v>
      </c>
      <c r="B37" s="426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4" t="str">
        <f t="shared" si="3"/>
        <v/>
      </c>
      <c r="K37" s="145">
        <f>'C5C'!K319</f>
        <v>0</v>
      </c>
      <c r="L37" s="712"/>
    </row>
    <row r="38" spans="1:12" ht="12.75" customHeight="1">
      <c r="A38" s="414" t="str">
        <f>'Org structure'!A16</f>
        <v xml:space="preserve">Vote 15 - </v>
      </c>
      <c r="B38" s="426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4" t="str">
        <f t="shared" si="3"/>
        <v/>
      </c>
      <c r="K38" s="145">
        <f>'C5C'!K330</f>
        <v>0</v>
      </c>
      <c r="L38" s="712"/>
    </row>
    <row r="39" spans="1:12" ht="12.75" customHeight="1">
      <c r="A39" s="354" t="s">
        <v>933</v>
      </c>
      <c r="B39" s="527">
        <v>4</v>
      </c>
      <c r="C39" s="262">
        <f t="shared" ref="C39:I39" si="4">SUM(C24:C38)</f>
        <v>0</v>
      </c>
      <c r="D39" s="263">
        <f t="shared" si="4"/>
        <v>141562000</v>
      </c>
      <c r="E39" s="162">
        <f t="shared" si="4"/>
        <v>0</v>
      </c>
      <c r="F39" s="162">
        <f t="shared" si="4"/>
        <v>1300</v>
      </c>
      <c r="G39" s="162">
        <f t="shared" si="4"/>
        <v>9691540.1600000001</v>
      </c>
      <c r="H39" s="162">
        <f t="shared" si="4"/>
        <v>141562000</v>
      </c>
      <c r="I39" s="74">
        <f t="shared" si="4"/>
        <v>-131870459.84</v>
      </c>
      <c r="J39" s="335">
        <f t="shared" si="3"/>
        <v>-0.93153854735027763</v>
      </c>
      <c r="K39" s="264">
        <f>SUM(K24:K38)</f>
        <v>141562000</v>
      </c>
      <c r="L39" s="101"/>
    </row>
    <row r="40" spans="1:12" ht="12.75" customHeight="1">
      <c r="A40" s="93" t="s">
        <v>934</v>
      </c>
      <c r="B40" s="429"/>
      <c r="C40" s="244">
        <f t="shared" ref="C40:I40" si="5">C39+C21</f>
        <v>0</v>
      </c>
      <c r="D40" s="261">
        <f t="shared" si="5"/>
        <v>394023759</v>
      </c>
      <c r="E40" s="74">
        <f t="shared" si="5"/>
        <v>0</v>
      </c>
      <c r="F40" s="74">
        <f t="shared" si="5"/>
        <v>9754095.3800000008</v>
      </c>
      <c r="G40" s="74">
        <f t="shared" si="5"/>
        <v>124425351.55000001</v>
      </c>
      <c r="H40" s="74">
        <f t="shared" si="5"/>
        <v>394023759</v>
      </c>
      <c r="I40" s="74">
        <f t="shared" si="5"/>
        <v>-269598407.44999999</v>
      </c>
      <c r="J40" s="335">
        <f>IF(I40=0,"",I40/H40)</f>
        <v>-0.68421865761145639</v>
      </c>
      <c r="K40" s="146">
        <f>K39+K21</f>
        <v>394023759</v>
      </c>
      <c r="L40" s="101"/>
    </row>
    <row r="41" spans="1:12" ht="5.0999999999999996" customHeight="1">
      <c r="A41" s="43"/>
      <c r="B41" s="426"/>
      <c r="C41" s="135"/>
      <c r="D41" s="259"/>
      <c r="E41" s="45"/>
      <c r="F41" s="45"/>
      <c r="G41" s="45"/>
      <c r="H41" s="45"/>
      <c r="I41" s="45"/>
      <c r="J41" s="334"/>
      <c r="K41" s="145"/>
      <c r="L41" s="101"/>
    </row>
    <row r="42" spans="1:12" ht="12.75" customHeight="1">
      <c r="A42" s="36" t="s">
        <v>1035</v>
      </c>
      <c r="B42" s="426"/>
      <c r="C42" s="135"/>
      <c r="D42" s="259"/>
      <c r="E42" s="45"/>
      <c r="F42" s="45"/>
      <c r="G42" s="45"/>
      <c r="H42" s="45"/>
      <c r="I42" s="45"/>
      <c r="J42" s="334"/>
      <c r="K42" s="145"/>
      <c r="L42" s="101"/>
    </row>
    <row r="43" spans="1:12" ht="12.75" customHeight="1">
      <c r="A43" s="421" t="str">
        <f>'C2-FinPerf SC'!A29</f>
        <v>Governance and administration</v>
      </c>
      <c r="B43" s="428"/>
      <c r="C43" s="655">
        <f t="shared" ref="C43:H43" si="6">SUM(C44:C46)</f>
        <v>0</v>
      </c>
      <c r="D43" s="683">
        <f t="shared" si="6"/>
        <v>0</v>
      </c>
      <c r="E43" s="651">
        <f t="shared" si="6"/>
        <v>0</v>
      </c>
      <c r="F43" s="651">
        <f t="shared" si="6"/>
        <v>0</v>
      </c>
      <c r="G43" s="651">
        <f t="shared" si="6"/>
        <v>0</v>
      </c>
      <c r="H43" s="651">
        <f t="shared" si="6"/>
        <v>0</v>
      </c>
      <c r="I43" s="45">
        <f t="shared" ref="I43:I62" si="7">G43-H43</f>
        <v>0</v>
      </c>
      <c r="J43" s="334" t="str">
        <f>IF(I43=0,"",I43/H43)</f>
        <v/>
      </c>
      <c r="K43" s="655">
        <f>SUM(K44:K46)</f>
        <v>0</v>
      </c>
      <c r="L43" s="101"/>
    </row>
    <row r="44" spans="1:12" ht="12.75" customHeight="1">
      <c r="A44" s="423" t="str">
        <f>'C2-FinPerf SC'!A30</f>
        <v>Executive and council</v>
      </c>
      <c r="B44" s="426"/>
      <c r="C44" s="754"/>
      <c r="D44" s="772"/>
      <c r="E44" s="752"/>
      <c r="F44" s="752"/>
      <c r="G44" s="752"/>
      <c r="H44" s="752"/>
      <c r="I44" s="45">
        <f t="shared" si="7"/>
        <v>0</v>
      </c>
      <c r="J44" s="334" t="str">
        <f t="shared" ref="J44:J63" si="8">IF(I44=0,"",I44/H44)</f>
        <v/>
      </c>
      <c r="K44" s="754"/>
      <c r="L44" s="101"/>
    </row>
    <row r="45" spans="1:12" ht="12.75" customHeight="1">
      <c r="A45" s="423" t="str">
        <f>'C2-FinPerf SC'!A31</f>
        <v>Budget and treasury office</v>
      </c>
      <c r="B45" s="426"/>
      <c r="C45" s="773"/>
      <c r="D45" s="774"/>
      <c r="E45" s="775"/>
      <c r="F45" s="775"/>
      <c r="G45" s="775"/>
      <c r="H45" s="775"/>
      <c r="I45" s="45">
        <f t="shared" si="7"/>
        <v>0</v>
      </c>
      <c r="J45" s="334" t="str">
        <f t="shared" si="8"/>
        <v/>
      </c>
      <c r="K45" s="773"/>
      <c r="L45" s="101"/>
    </row>
    <row r="46" spans="1:12" ht="12.75" customHeight="1">
      <c r="A46" s="423" t="str">
        <f>'C2-FinPerf SC'!A32</f>
        <v>Corporate services</v>
      </c>
      <c r="B46" s="426"/>
      <c r="C46" s="754"/>
      <c r="D46" s="772"/>
      <c r="E46" s="752"/>
      <c r="F46" s="752"/>
      <c r="G46" s="752"/>
      <c r="H46" s="752"/>
      <c r="I46" s="45">
        <f t="shared" si="7"/>
        <v>0</v>
      </c>
      <c r="J46" s="334" t="str">
        <f t="shared" si="8"/>
        <v/>
      </c>
      <c r="K46" s="754"/>
      <c r="L46" s="101"/>
    </row>
    <row r="47" spans="1:12" ht="12.75" customHeight="1">
      <c r="A47" s="421" t="str">
        <f>'C2-FinPerf SC'!A33</f>
        <v>Community and public safety</v>
      </c>
      <c r="B47" s="426"/>
      <c r="C47" s="655">
        <f t="shared" ref="C47:H47" si="9">SUM(C48:C52)</f>
        <v>0</v>
      </c>
      <c r="D47" s="683">
        <f t="shared" si="9"/>
        <v>36953000</v>
      </c>
      <c r="E47" s="651">
        <f t="shared" si="9"/>
        <v>0</v>
      </c>
      <c r="F47" s="651">
        <f t="shared" si="9"/>
        <v>349404.53</v>
      </c>
      <c r="G47" s="651">
        <f t="shared" si="9"/>
        <v>6736786.1400000006</v>
      </c>
      <c r="H47" s="651">
        <f t="shared" si="9"/>
        <v>36953000</v>
      </c>
      <c r="I47" s="45">
        <f t="shared" si="7"/>
        <v>-30216213.859999999</v>
      </c>
      <c r="J47" s="334">
        <f t="shared" si="8"/>
        <v>-0.81769311990907367</v>
      </c>
      <c r="K47" s="655">
        <f>SUM(K48:K52)</f>
        <v>36953000</v>
      </c>
      <c r="L47" s="101"/>
    </row>
    <row r="48" spans="1:12" ht="12.75" customHeight="1">
      <c r="A48" s="423" t="str">
        <f>'C2-FinPerf SC'!A34</f>
        <v>Community and social services</v>
      </c>
      <c r="B48" s="426"/>
      <c r="C48" s="754"/>
      <c r="D48" s="772">
        <f>9000000</f>
        <v>9000000</v>
      </c>
      <c r="E48" s="752"/>
      <c r="F48" s="752"/>
      <c r="G48" s="752"/>
      <c r="H48" s="772">
        <f>9000000</f>
        <v>9000000</v>
      </c>
      <c r="I48" s="45">
        <f t="shared" si="7"/>
        <v>-9000000</v>
      </c>
      <c r="J48" s="334">
        <f t="shared" si="8"/>
        <v>-1</v>
      </c>
      <c r="K48" s="772">
        <f>9000000</f>
        <v>9000000</v>
      </c>
      <c r="L48" s="101"/>
    </row>
    <row r="49" spans="1:12" ht="12.75" customHeight="1">
      <c r="A49" s="423" t="str">
        <f>'C2-FinPerf SC'!A35</f>
        <v>Sport and recreation</v>
      </c>
      <c r="B49" s="426"/>
      <c r="C49" s="754"/>
      <c r="D49" s="772">
        <f>8000000+19953000</f>
        <v>27953000</v>
      </c>
      <c r="E49" s="752"/>
      <c r="F49" s="752">
        <f>349404.53</f>
        <v>349404.53</v>
      </c>
      <c r="G49" s="752">
        <f>749731.24+826938.4+864171.62+625110.71+3098902.89+222526.75+349404.53</f>
        <v>6736786.1400000006</v>
      </c>
      <c r="H49" s="772">
        <f>8000000+19953000</f>
        <v>27953000</v>
      </c>
      <c r="I49" s="45">
        <f t="shared" si="7"/>
        <v>-21216213.859999999</v>
      </c>
      <c r="J49" s="334">
        <f t="shared" si="8"/>
        <v>-0.75899595249168239</v>
      </c>
      <c r="K49" s="772">
        <f>8000000+19953000</f>
        <v>27953000</v>
      </c>
      <c r="L49" s="101"/>
    </row>
    <row r="50" spans="1:12" ht="12.75" customHeight="1">
      <c r="A50" s="423" t="str">
        <f>'C2-FinPerf SC'!A36</f>
        <v>Public safety</v>
      </c>
      <c r="B50" s="426"/>
      <c r="C50" s="754"/>
      <c r="D50" s="772"/>
      <c r="E50" s="752"/>
      <c r="F50" s="752"/>
      <c r="G50" s="752"/>
      <c r="H50" s="772"/>
      <c r="I50" s="45">
        <f t="shared" si="7"/>
        <v>0</v>
      </c>
      <c r="J50" s="334" t="str">
        <f t="shared" si="8"/>
        <v/>
      </c>
      <c r="K50" s="772"/>
      <c r="L50" s="101"/>
    </row>
    <row r="51" spans="1:12" ht="12.75" customHeight="1">
      <c r="A51" s="423" t="str">
        <f>'C2-FinPerf SC'!A37</f>
        <v>Housing</v>
      </c>
      <c r="B51" s="426"/>
      <c r="C51" s="754"/>
      <c r="D51" s="772"/>
      <c r="E51" s="752"/>
      <c r="F51" s="752"/>
      <c r="G51" s="752"/>
      <c r="H51" s="772"/>
      <c r="I51" s="45">
        <f t="shared" si="7"/>
        <v>0</v>
      </c>
      <c r="J51" s="334" t="str">
        <f t="shared" si="8"/>
        <v/>
      </c>
      <c r="K51" s="772"/>
      <c r="L51" s="101"/>
    </row>
    <row r="52" spans="1:12" ht="12.75" customHeight="1">
      <c r="A52" s="423" t="str">
        <f>'C2-FinPerf SC'!A38</f>
        <v>Health</v>
      </c>
      <c r="B52" s="426"/>
      <c r="C52" s="773"/>
      <c r="D52" s="774"/>
      <c r="E52" s="775"/>
      <c r="F52" s="775"/>
      <c r="G52" s="775"/>
      <c r="H52" s="774"/>
      <c r="I52" s="45">
        <f t="shared" si="7"/>
        <v>0</v>
      </c>
      <c r="J52" s="334" t="str">
        <f t="shared" si="8"/>
        <v/>
      </c>
      <c r="K52" s="774"/>
      <c r="L52" s="101"/>
    </row>
    <row r="53" spans="1:12" ht="12.75" customHeight="1">
      <c r="A53" s="421" t="str">
        <f>'C2-FinPerf SC'!A39</f>
        <v>Economic and environmental services</v>
      </c>
      <c r="B53" s="426"/>
      <c r="C53" s="655">
        <f t="shared" ref="C53:H53" si="10">SUM(C54:C56)</f>
        <v>0</v>
      </c>
      <c r="D53" s="683">
        <f t="shared" si="10"/>
        <v>82104759</v>
      </c>
      <c r="E53" s="651">
        <f t="shared" si="10"/>
        <v>0</v>
      </c>
      <c r="F53" s="651">
        <f t="shared" si="10"/>
        <v>1000193.35</v>
      </c>
      <c r="G53" s="651">
        <f t="shared" si="10"/>
        <v>23221585.510000002</v>
      </c>
      <c r="H53" s="651">
        <f t="shared" si="10"/>
        <v>82104759</v>
      </c>
      <c r="I53" s="45">
        <f t="shared" si="7"/>
        <v>-58883173.489999995</v>
      </c>
      <c r="J53" s="334">
        <f t="shared" si="8"/>
        <v>-0.7171712603163477</v>
      </c>
      <c r="K53" s="655">
        <f>SUM(K54:K56)</f>
        <v>82104759</v>
      </c>
      <c r="L53" s="101"/>
    </row>
    <row r="54" spans="1:12" ht="12.75" customHeight="1">
      <c r="A54" s="423" t="str">
        <f>'C2-FinPerf SC'!A40</f>
        <v>Planning and development</v>
      </c>
      <c r="B54" s="426"/>
      <c r="C54" s="754"/>
      <c r="D54" s="772">
        <f>23000000</f>
        <v>23000000</v>
      </c>
      <c r="E54" s="752"/>
      <c r="F54" s="752"/>
      <c r="G54" s="752">
        <f>402580.68+592714.95</f>
        <v>995295.62999999989</v>
      </c>
      <c r="H54" s="772">
        <f>23000000</f>
        <v>23000000</v>
      </c>
      <c r="I54" s="45">
        <f t="shared" si="7"/>
        <v>-22004704.370000001</v>
      </c>
      <c r="J54" s="334">
        <f t="shared" si="8"/>
        <v>-0.95672627695652179</v>
      </c>
      <c r="K54" s="772">
        <f>23000000</f>
        <v>23000000</v>
      </c>
      <c r="L54" s="101"/>
    </row>
    <row r="55" spans="1:12" ht="12.75" customHeight="1">
      <c r="A55" s="423" t="str">
        <f>'C2-FinPerf SC'!A41</f>
        <v>Road transport</v>
      </c>
      <c r="B55" s="426"/>
      <c r="C55" s="754"/>
      <c r="D55" s="772">
        <f>6500000+5298195+7531564+12000000+11775000+8000000+8000000</f>
        <v>59104759</v>
      </c>
      <c r="E55" s="752"/>
      <c r="F55" s="752">
        <f>789661.35+210532</f>
        <v>1000193.35</v>
      </c>
      <c r="G55" s="752">
        <f>3013205.17+1115286.83+3731545+365961.4+229043.96+496611.4+832250.65+1399583.89+2149250+397605.54+340095.36+268017.82+1198297.45+409870.16+1081912.88+1497680.3+1468075.25+801171.08+430632.39+789661.35+210532</f>
        <v>22226289.880000003</v>
      </c>
      <c r="H55" s="772">
        <f>6500000+5298195+7531564+12000000+11775000+8000000+8000000</f>
        <v>59104759</v>
      </c>
      <c r="I55" s="45">
        <f t="shared" si="7"/>
        <v>-36878469.119999997</v>
      </c>
      <c r="J55" s="334">
        <f t="shared" si="8"/>
        <v>-0.62395092618514858</v>
      </c>
      <c r="K55" s="772">
        <f>6500000+5298195+7531564+12000000+11775000+8000000+8000000</f>
        <v>59104759</v>
      </c>
      <c r="L55" s="101"/>
    </row>
    <row r="56" spans="1:12" ht="12.75" customHeight="1">
      <c r="A56" s="423" t="str">
        <f>'C2-FinPerf SC'!A42</f>
        <v>Environmental protection</v>
      </c>
      <c r="B56" s="426"/>
      <c r="C56" s="754"/>
      <c r="D56" s="772"/>
      <c r="E56" s="752"/>
      <c r="F56" s="752"/>
      <c r="G56" s="752"/>
      <c r="H56" s="772"/>
      <c r="I56" s="45">
        <f t="shared" si="7"/>
        <v>0</v>
      </c>
      <c r="J56" s="334" t="str">
        <f t="shared" si="8"/>
        <v/>
      </c>
      <c r="K56" s="772"/>
      <c r="L56" s="101"/>
    </row>
    <row r="57" spans="1:12" ht="12.75" customHeight="1">
      <c r="A57" s="421" t="str">
        <f>'C2-FinPerf SC'!A43</f>
        <v>Trading services</v>
      </c>
      <c r="B57" s="426"/>
      <c r="C57" s="655">
        <f t="shared" ref="C57:H57" si="11">SUM(C58:C61)</f>
        <v>0</v>
      </c>
      <c r="D57" s="683">
        <f t="shared" si="11"/>
        <v>169404000</v>
      </c>
      <c r="E57" s="651">
        <f t="shared" si="11"/>
        <v>0</v>
      </c>
      <c r="F57" s="651">
        <f t="shared" si="11"/>
        <v>8403197.5</v>
      </c>
      <c r="G57" s="651">
        <f t="shared" si="11"/>
        <v>83434912.300000012</v>
      </c>
      <c r="H57" s="651">
        <f t="shared" si="11"/>
        <v>169404000</v>
      </c>
      <c r="I57" s="45">
        <f t="shared" si="7"/>
        <v>-85969087.699999988</v>
      </c>
      <c r="J57" s="334">
        <f t="shared" si="8"/>
        <v>-0.50747967993671927</v>
      </c>
      <c r="K57" s="655">
        <f>SUM(K58:K61)</f>
        <v>169404000</v>
      </c>
      <c r="L57" s="101"/>
    </row>
    <row r="58" spans="1:12" ht="12.75" customHeight="1">
      <c r="A58" s="423" t="str">
        <f>'C2-FinPerf SC'!A44</f>
        <v>Electricity</v>
      </c>
      <c r="B58" s="426"/>
      <c r="C58" s="754"/>
      <c r="D58" s="772">
        <f>10000000+11000000</f>
        <v>21000000</v>
      </c>
      <c r="E58" s="752"/>
      <c r="F58" s="752">
        <f>2166667.17</f>
        <v>2166667.17</v>
      </c>
      <c r="G58" s="752">
        <f>3070175.44+2166667.17</f>
        <v>5236842.6099999994</v>
      </c>
      <c r="H58" s="772">
        <f>10000000+11000000</f>
        <v>21000000</v>
      </c>
      <c r="I58" s="45">
        <f t="shared" si="7"/>
        <v>-15763157.390000001</v>
      </c>
      <c r="J58" s="334">
        <f t="shared" si="8"/>
        <v>-0.75062654238095239</v>
      </c>
      <c r="K58" s="772">
        <f>10000000+11000000</f>
        <v>21000000</v>
      </c>
      <c r="L58" s="101"/>
    </row>
    <row r="59" spans="1:12" ht="12.75" customHeight="1">
      <c r="A59" s="423" t="str">
        <f>'C2-FinPerf SC'!A45</f>
        <v>Water</v>
      </c>
      <c r="B59" s="426"/>
      <c r="C59" s="754"/>
      <c r="D59" s="772">
        <f>44620000+29700000+10000000+5000000</f>
        <v>89320000</v>
      </c>
      <c r="E59" s="752"/>
      <c r="F59" s="752">
        <f>2114950.6+1332292.68</f>
        <v>3447243.2800000003</v>
      </c>
      <c r="G59" s="752">
        <f>5531955.13+2863636.54+8434480.39+502307.62+284379.6+9600612.23+2598134.24+1572.63+7600393.08+2248124.72+497690.95+6665945.83+2114950.6+1332292.68</f>
        <v>50276476.24000001</v>
      </c>
      <c r="H59" s="772">
        <f>44620000+29700000+10000000+5000000</f>
        <v>89320000</v>
      </c>
      <c r="I59" s="45">
        <f t="shared" si="7"/>
        <v>-39043523.75999999</v>
      </c>
      <c r="J59" s="334">
        <f t="shared" si="8"/>
        <v>-0.43711961218092243</v>
      </c>
      <c r="K59" s="772">
        <f>44620000+29700000+10000000+5000000</f>
        <v>89320000</v>
      </c>
      <c r="L59" s="101"/>
    </row>
    <row r="60" spans="1:12" ht="12.75" customHeight="1">
      <c r="A60" s="423" t="str">
        <f>'C2-FinPerf SC'!A46</f>
        <v>Waste water management</v>
      </c>
      <c r="B60" s="426"/>
      <c r="C60" s="773"/>
      <c r="D60" s="774">
        <f>20000000</f>
        <v>20000000</v>
      </c>
      <c r="E60" s="775"/>
      <c r="F60" s="775"/>
      <c r="G60" s="775"/>
      <c r="H60" s="774">
        <f>20000000</f>
        <v>20000000</v>
      </c>
      <c r="I60" s="45">
        <f t="shared" si="7"/>
        <v>-20000000</v>
      </c>
      <c r="J60" s="334">
        <f t="shared" si="8"/>
        <v>-1</v>
      </c>
      <c r="K60" s="774">
        <f>20000000</f>
        <v>20000000</v>
      </c>
      <c r="L60" s="101"/>
    </row>
    <row r="61" spans="1:12" ht="12.75" customHeight="1">
      <c r="A61" s="423" t="str">
        <f>'C2-FinPerf SC'!A47</f>
        <v>Waste management</v>
      </c>
      <c r="B61" s="426"/>
      <c r="C61" s="754"/>
      <c r="D61" s="772">
        <f>12000000+22084000+5000000</f>
        <v>39084000</v>
      </c>
      <c r="E61" s="752"/>
      <c r="F61" s="752">
        <f>691571.18+1648288.89+449426.98</f>
        <v>2789287.05</v>
      </c>
      <c r="G61" s="752">
        <f>2737759.71+1793260+744197.47+2678184.56+1648288.89+3133564.8+4112005.72+625942.65+7369260+289842.6+691571.18+1648288.89+449426.98</f>
        <v>27921593.449999999</v>
      </c>
      <c r="H61" s="772">
        <f>12000000+22084000+5000000</f>
        <v>39084000</v>
      </c>
      <c r="I61" s="45">
        <f t="shared" si="7"/>
        <v>-11162406.550000001</v>
      </c>
      <c r="J61" s="334">
        <f t="shared" si="8"/>
        <v>-0.28560041321256779</v>
      </c>
      <c r="K61" s="772">
        <f>12000000+22084000+5000000</f>
        <v>39084000</v>
      </c>
      <c r="L61" s="101"/>
    </row>
    <row r="62" spans="1:12" ht="12.75" customHeight="1">
      <c r="A62" s="421" t="str">
        <f>'C2-FinPerf SC'!A48</f>
        <v>Other</v>
      </c>
      <c r="B62" s="426"/>
      <c r="C62" s="754"/>
      <c r="D62" s="772">
        <f>6000000+10000000+3000000+8062000+3500000+35000000+40000000</f>
        <v>105562000</v>
      </c>
      <c r="E62" s="752"/>
      <c r="F62" s="752">
        <f>1300</f>
        <v>1300</v>
      </c>
      <c r="G62" s="752">
        <f>3537940+916008.61+11900+13200+406661+375394.22+2364320+410754.19+13200+818225.87+1754385.96+408777.65+1300</f>
        <v>11032067.500000002</v>
      </c>
      <c r="H62" s="772">
        <f>6000000+10000000+3000000+8062000+3500000+35000000+40000000</f>
        <v>105562000</v>
      </c>
      <c r="I62" s="45">
        <f t="shared" si="7"/>
        <v>-94529932.5</v>
      </c>
      <c r="J62" s="334">
        <f t="shared" si="8"/>
        <v>-0.89549205680074273</v>
      </c>
      <c r="K62" s="772">
        <f>6000000+10000000+3000000+8062000+3500000+35000000+40000000</f>
        <v>105562000</v>
      </c>
      <c r="L62" s="101"/>
    </row>
    <row r="63" spans="1:12" ht="12.75" customHeight="1">
      <c r="A63" s="544" t="s">
        <v>661</v>
      </c>
      <c r="B63" s="547">
        <v>3</v>
      </c>
      <c r="C63" s="548">
        <f>C43+C47+C53+C57+C62</f>
        <v>0</v>
      </c>
      <c r="D63" s="549">
        <f t="shared" ref="D63:I63" si="12">D43+D47+D53+D57+D62</f>
        <v>394023759</v>
      </c>
      <c r="E63" s="485">
        <f t="shared" si="12"/>
        <v>0</v>
      </c>
      <c r="F63" s="485">
        <f t="shared" si="12"/>
        <v>9754095.379999999</v>
      </c>
      <c r="G63" s="485">
        <f t="shared" si="12"/>
        <v>124425351.45000002</v>
      </c>
      <c r="H63" s="485">
        <f t="shared" si="12"/>
        <v>394023759</v>
      </c>
      <c r="I63" s="485">
        <f t="shared" si="12"/>
        <v>-269598407.54999995</v>
      </c>
      <c r="J63" s="550">
        <f t="shared" si="8"/>
        <v>-0.68421865786524805</v>
      </c>
      <c r="K63" s="551">
        <f>K43+K47+K53+K57+K62</f>
        <v>394023759</v>
      </c>
      <c r="L63" s="101"/>
    </row>
    <row r="64" spans="1:12" ht="5.0999999999999996" customHeight="1">
      <c r="A64" s="42"/>
      <c r="B64" s="170"/>
      <c r="C64" s="135"/>
      <c r="D64" s="259"/>
      <c r="E64" s="45"/>
      <c r="F64" s="45"/>
      <c r="G64" s="45"/>
      <c r="H64" s="45"/>
      <c r="I64" s="45"/>
      <c r="J64" s="334"/>
      <c r="K64" s="145"/>
      <c r="L64" s="101"/>
    </row>
    <row r="65" spans="1:12" ht="12.75" customHeight="1">
      <c r="A65" s="36" t="s">
        <v>584</v>
      </c>
      <c r="B65" s="170"/>
      <c r="C65" s="135"/>
      <c r="D65" s="259"/>
      <c r="E65" s="45"/>
      <c r="F65" s="45"/>
      <c r="G65" s="45"/>
      <c r="H65" s="45"/>
      <c r="I65" s="45"/>
      <c r="J65" s="334"/>
      <c r="K65" s="145"/>
      <c r="L65" s="101"/>
    </row>
    <row r="66" spans="1:12" ht="12.75" customHeight="1">
      <c r="A66" s="108" t="s">
        <v>555</v>
      </c>
      <c r="B66" s="170"/>
      <c r="C66" s="767"/>
      <c r="D66" s="772">
        <f>65682000+207841759</f>
        <v>273523759</v>
      </c>
      <c r="E66" s="752"/>
      <c r="F66" s="752">
        <f>5471177.61+4282917.77</f>
        <v>9754095.379999999</v>
      </c>
      <c r="G66" s="752">
        <f>14820860.01+20808748.51+13200+6549030.48+11964932.23+10434567.07+10683768.52+18364293.56+8420331.79+11616228.37+5471177.61+4282917.77</f>
        <v>123430055.92000002</v>
      </c>
      <c r="H66" s="772">
        <f>65682000+207841759</f>
        <v>273523759</v>
      </c>
      <c r="I66" s="45">
        <f t="shared" ref="I66:I74" si="13">G66-H66</f>
        <v>-150093703.07999998</v>
      </c>
      <c r="J66" s="334">
        <f t="shared" ref="J66:J74" si="14">IF(I66=0,"",I66/H66)</f>
        <v>-0.54874100746765475</v>
      </c>
      <c r="K66" s="772">
        <f>65682000+207841759</f>
        <v>273523759</v>
      </c>
      <c r="L66" s="101"/>
    </row>
    <row r="67" spans="1:12" ht="12.75" customHeight="1">
      <c r="A67" s="108" t="s">
        <v>755</v>
      </c>
      <c r="B67" s="170"/>
      <c r="C67" s="767"/>
      <c r="D67" s="772"/>
      <c r="E67" s="752"/>
      <c r="F67" s="752"/>
      <c r="G67" s="752"/>
      <c r="H67" s="772"/>
      <c r="I67" s="45">
        <f t="shared" si="13"/>
        <v>0</v>
      </c>
      <c r="J67" s="334" t="str">
        <f t="shared" si="14"/>
        <v/>
      </c>
      <c r="K67" s="772"/>
      <c r="L67" s="101"/>
    </row>
    <row r="68" spans="1:12" ht="12.75" customHeight="1">
      <c r="A68" s="108" t="s">
        <v>756</v>
      </c>
      <c r="B68" s="170"/>
      <c r="C68" s="767"/>
      <c r="D68" s="772"/>
      <c r="E68" s="752"/>
      <c r="F68" s="752"/>
      <c r="G68" s="752"/>
      <c r="H68" s="772"/>
      <c r="I68" s="45">
        <f t="shared" si="13"/>
        <v>0</v>
      </c>
      <c r="J68" s="334" t="str">
        <f t="shared" si="14"/>
        <v/>
      </c>
      <c r="K68" s="772"/>
      <c r="L68" s="101"/>
    </row>
    <row r="69" spans="1:12" ht="12.75" customHeight="1">
      <c r="A69" s="545" t="s">
        <v>77</v>
      </c>
      <c r="B69" s="249"/>
      <c r="C69" s="768"/>
      <c r="D69" s="776"/>
      <c r="E69" s="770"/>
      <c r="F69" s="770"/>
      <c r="G69" s="770"/>
      <c r="H69" s="776"/>
      <c r="I69" s="100">
        <f t="shared" si="13"/>
        <v>0</v>
      </c>
      <c r="J69" s="339" t="str">
        <f t="shared" si="14"/>
        <v/>
      </c>
      <c r="K69" s="776"/>
      <c r="L69" s="101"/>
    </row>
    <row r="70" spans="1:12" ht="12.75" customHeight="1">
      <c r="A70" s="707" t="s">
        <v>1151</v>
      </c>
      <c r="B70" s="170"/>
      <c r="C70" s="110">
        <f t="shared" ref="C70:H70" si="15">SUM(C66:C69)</f>
        <v>0</v>
      </c>
      <c r="D70" s="260">
        <f t="shared" si="15"/>
        <v>273523759</v>
      </c>
      <c r="E70" s="51">
        <f t="shared" si="15"/>
        <v>0</v>
      </c>
      <c r="F70" s="51">
        <f t="shared" si="15"/>
        <v>9754095.379999999</v>
      </c>
      <c r="G70" s="51">
        <f t="shared" si="15"/>
        <v>123430055.92000002</v>
      </c>
      <c r="H70" s="51">
        <f t="shared" si="15"/>
        <v>273523759</v>
      </c>
      <c r="I70" s="51">
        <f t="shared" si="13"/>
        <v>-150093703.07999998</v>
      </c>
      <c r="J70" s="147">
        <f t="shared" si="14"/>
        <v>-0.54874100746765475</v>
      </c>
      <c r="K70" s="51">
        <f>SUM(K66:K69)</f>
        <v>273523759</v>
      </c>
      <c r="L70" s="713"/>
    </row>
    <row r="71" spans="1:12" ht="12.75" customHeight="1">
      <c r="A71" s="107" t="s">
        <v>591</v>
      </c>
      <c r="B71" s="170">
        <v>5</v>
      </c>
      <c r="C71" s="767"/>
      <c r="D71" s="772"/>
      <c r="E71" s="752"/>
      <c r="F71" s="752"/>
      <c r="G71" s="752"/>
      <c r="H71" s="772"/>
      <c r="I71" s="45">
        <f t="shared" si="13"/>
        <v>0</v>
      </c>
      <c r="J71" s="334" t="str">
        <f t="shared" si="14"/>
        <v/>
      </c>
      <c r="K71" s="772"/>
      <c r="L71" s="101"/>
    </row>
    <row r="72" spans="1:12" ht="12.75" customHeight="1">
      <c r="A72" s="107" t="s">
        <v>953</v>
      </c>
      <c r="B72" s="170">
        <v>6</v>
      </c>
      <c r="C72" s="767"/>
      <c r="D72" s="772">
        <f>98000000</f>
        <v>98000000</v>
      </c>
      <c r="E72" s="752"/>
      <c r="F72" s="752"/>
      <c r="G72" s="752">
        <f>402580.68+592714.95</f>
        <v>995295.62999999989</v>
      </c>
      <c r="H72" s="772">
        <f>98000000</f>
        <v>98000000</v>
      </c>
      <c r="I72" s="45">
        <f t="shared" si="13"/>
        <v>-97004704.370000005</v>
      </c>
      <c r="J72" s="334">
        <f t="shared" si="14"/>
        <v>-0.98984392214285721</v>
      </c>
      <c r="K72" s="772">
        <f>98000000</f>
        <v>98000000</v>
      </c>
      <c r="L72" s="101"/>
    </row>
    <row r="73" spans="1:12" ht="12.75" customHeight="1">
      <c r="A73" s="107" t="s">
        <v>585</v>
      </c>
      <c r="B73" s="249"/>
      <c r="C73" s="768"/>
      <c r="D73" s="776">
        <f>22500000</f>
        <v>22500000</v>
      </c>
      <c r="E73" s="770"/>
      <c r="F73" s="770"/>
      <c r="G73" s="770"/>
      <c r="H73" s="776">
        <f>22500000</f>
        <v>22500000</v>
      </c>
      <c r="I73" s="100">
        <f t="shared" si="13"/>
        <v>-22500000</v>
      </c>
      <c r="J73" s="339">
        <f t="shared" si="14"/>
        <v>-1</v>
      </c>
      <c r="K73" s="776">
        <f>22500000</f>
        <v>22500000</v>
      </c>
      <c r="L73" s="101"/>
    </row>
    <row r="74" spans="1:12" ht="12.75" customHeight="1">
      <c r="A74" s="546" t="s">
        <v>1079</v>
      </c>
      <c r="B74" s="120"/>
      <c r="C74" s="245">
        <f t="shared" ref="C74:K74" si="16">SUM(C70:C73)</f>
        <v>0</v>
      </c>
      <c r="D74" s="266">
        <f t="shared" si="16"/>
        <v>394023759</v>
      </c>
      <c r="E74" s="77">
        <f t="shared" si="16"/>
        <v>0</v>
      </c>
      <c r="F74" s="77">
        <f>SUM(F70:F73)</f>
        <v>9754095.379999999</v>
      </c>
      <c r="G74" s="77">
        <f>SUM(G70:G73)</f>
        <v>124425351.55000001</v>
      </c>
      <c r="H74" s="77">
        <f>SUM(H70:H73)</f>
        <v>394023759</v>
      </c>
      <c r="I74" s="77">
        <f t="shared" si="13"/>
        <v>-269598407.44999999</v>
      </c>
      <c r="J74" s="337">
        <f t="shared" si="14"/>
        <v>-0.68421865761145639</v>
      </c>
      <c r="K74" s="235">
        <f t="shared" si="16"/>
        <v>394023759</v>
      </c>
      <c r="L74" s="101"/>
    </row>
    <row r="75" spans="1:12" ht="11.25" customHeight="1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>
      <c r="A76" s="598" t="s">
        <v>181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>
      <c r="A77" s="995" t="s">
        <v>179</v>
      </c>
      <c r="B77" s="995"/>
      <c r="C77" s="995"/>
      <c r="D77" s="995"/>
      <c r="E77" s="995"/>
      <c r="F77" s="995"/>
      <c r="G77" s="995"/>
      <c r="H77" s="995"/>
      <c r="I77" s="995"/>
      <c r="J77" s="995"/>
      <c r="K77" s="995"/>
    </row>
    <row r="78" spans="1:12" ht="12" customHeight="1">
      <c r="A78" s="995" t="s">
        <v>656</v>
      </c>
      <c r="B78" s="995"/>
      <c r="C78" s="995"/>
      <c r="D78" s="995"/>
      <c r="E78" s="995"/>
      <c r="F78" s="995"/>
      <c r="G78" s="995"/>
      <c r="H78" s="995"/>
      <c r="I78" s="995"/>
      <c r="J78" s="995"/>
      <c r="K78" s="995"/>
    </row>
    <row r="79" spans="1:12" ht="12" customHeight="1">
      <c r="A79" s="996" t="s">
        <v>657</v>
      </c>
      <c r="B79" s="995"/>
      <c r="C79" s="995"/>
      <c r="D79" s="995"/>
      <c r="E79" s="995"/>
      <c r="F79" s="995"/>
      <c r="G79" s="995"/>
      <c r="H79" s="995"/>
      <c r="I79" s="995"/>
      <c r="J79" s="995"/>
      <c r="K79" s="995"/>
    </row>
    <row r="80" spans="1:12" ht="12" customHeight="1">
      <c r="A80" s="598" t="s">
        <v>180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>
      <c r="A81" s="598" t="s">
        <v>78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>
      <c r="B83" s="25"/>
    </row>
    <row r="84" spans="1:11" ht="11.25" customHeight="1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>
      <c r="A86" s="82" t="s">
        <v>885</v>
      </c>
      <c r="B86" s="65"/>
      <c r="C86" s="708">
        <f>C40-C74</f>
        <v>0</v>
      </c>
      <c r="D86" s="708">
        <f t="shared" ref="D86:K86" si="17">D40-D74</f>
        <v>0</v>
      </c>
      <c r="E86" s="708">
        <f t="shared" si="17"/>
        <v>0</v>
      </c>
      <c r="F86" s="708">
        <f t="shared" si="17"/>
        <v>0</v>
      </c>
      <c r="G86" s="708">
        <f t="shared" si="17"/>
        <v>0</v>
      </c>
      <c r="H86" s="708">
        <f t="shared" si="17"/>
        <v>0</v>
      </c>
      <c r="I86" s="708"/>
      <c r="J86" s="708"/>
      <c r="K86" s="708">
        <f t="shared" si="17"/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Normal="100" zoomScaleSheetLayoutView="100" workbookViewId="0">
      <pane xSplit="2" ySplit="4" topLeftCell="D326" activePane="bottomRight" state="frozen"/>
      <selection pane="topRight" activeCell="C1" sqref="C1"/>
      <selection pane="bottomLeft" activeCell="A5" sqref="A5"/>
      <selection pane="bottomRight" activeCell="F343" sqref="F343"/>
    </sheetView>
  </sheetViews>
  <sheetFormatPr defaultRowHeight="12.75"/>
  <cols>
    <col min="1" max="1" width="31.85546875" style="25" customWidth="1"/>
    <col min="2" max="2" width="3" style="501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>
      <c r="A1" s="985" t="str">
        <f>muni&amp; " - "&amp;S71D&amp; " - "&amp;"A"&amp; " - "&amp;date</f>
        <v>FS194 Maluti-a-Phofung - Table C5 Consolidated Monthly Budget Statement - Capital Expenditure (municipal vote, standard classification and funding  - A - M07 January</v>
      </c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23" ht="28.5" customHeight="1">
      <c r="A2" s="442" t="str">
        <f>Vdesc</f>
        <v>Vote Description</v>
      </c>
      <c r="B2" s="443" t="str">
        <f>head27</f>
        <v>Ref</v>
      </c>
      <c r="C2" s="143" t="str">
        <f>Head1</f>
        <v>2012/13</v>
      </c>
      <c r="D2" s="978" t="str">
        <f>Head2</f>
        <v>Budget Year 2013/14</v>
      </c>
      <c r="E2" s="979"/>
      <c r="F2" s="979"/>
      <c r="G2" s="979"/>
      <c r="H2" s="979"/>
      <c r="I2" s="979"/>
      <c r="J2" s="979"/>
      <c r="K2" s="980"/>
      <c r="L2" s="989" t="e">
        <f>Head4</f>
        <v>#REF!</v>
      </c>
      <c r="M2" s="990"/>
      <c r="N2" s="990"/>
      <c r="O2" s="990"/>
      <c r="P2" s="990"/>
      <c r="Q2" s="990"/>
      <c r="R2" s="990"/>
      <c r="S2" s="990"/>
      <c r="T2" s="990"/>
      <c r="U2" s="990"/>
      <c r="V2" s="990"/>
      <c r="W2" s="991"/>
    </row>
    <row r="3" spans="1:23" ht="25.5">
      <c r="A3" s="503" t="s">
        <v>135</v>
      </c>
      <c r="B3" s="504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5" t="str">
        <f>Head12</f>
        <v>Forecast 2010/11</v>
      </c>
      <c r="M3" s="706" t="str">
        <f>Head13</f>
        <v>Forecast 2011/12</v>
      </c>
      <c r="N3" s="706" t="str">
        <f>Head14</f>
        <v>Forecast 2012/13</v>
      </c>
      <c r="O3" s="706" t="str">
        <f>Head15</f>
        <v>Forecast 2013/14</v>
      </c>
      <c r="P3" s="706" t="str">
        <f>Head16</f>
        <v>Forecast 2014/15</v>
      </c>
      <c r="Q3" s="706" t="str">
        <f>Head17</f>
        <v>Forecast 2015/16</v>
      </c>
      <c r="R3" s="706" t="str">
        <f>Head18</f>
        <v>Forecast 2016/17</v>
      </c>
      <c r="S3" s="706" t="str">
        <f>Head19</f>
        <v>Forecast 2017/18</v>
      </c>
      <c r="T3" s="706" t="str">
        <f>Head20</f>
        <v>Forecast 2018/19</v>
      </c>
      <c r="U3" s="706" t="str">
        <f>Head21</f>
        <v>Forecast 2019/20</v>
      </c>
      <c r="V3" s="706" t="str">
        <f>Head22</f>
        <v>Forecast 2020/21</v>
      </c>
      <c r="W3" s="706" t="str">
        <f>Head23</f>
        <v>Forecast 2021/22</v>
      </c>
    </row>
    <row r="4" spans="1:23" ht="11.25" customHeight="1">
      <c r="A4" s="444"/>
      <c r="B4" s="445"/>
      <c r="C4" s="224"/>
      <c r="D4" s="241"/>
      <c r="E4" s="242"/>
      <c r="F4" s="83"/>
      <c r="G4" s="83"/>
      <c r="H4" s="83"/>
      <c r="I4" s="83"/>
      <c r="J4" s="243" t="s">
        <v>723</v>
      </c>
      <c r="K4" s="224"/>
      <c r="L4" s="431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36" t="s">
        <v>973</v>
      </c>
      <c r="B5" s="504"/>
      <c r="C5" s="505"/>
      <c r="D5" s="517"/>
      <c r="E5" s="518"/>
      <c r="F5" s="506"/>
      <c r="G5" s="507"/>
      <c r="H5" s="506"/>
      <c r="I5" s="507"/>
      <c r="J5" s="508"/>
      <c r="K5" s="509"/>
      <c r="L5" s="431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36" t="s">
        <v>976</v>
      </c>
      <c r="B6" s="422">
        <v>1</v>
      </c>
      <c r="C6" s="505"/>
      <c r="D6" s="229"/>
      <c r="E6" s="166"/>
      <c r="F6" s="506"/>
      <c r="G6" s="507"/>
      <c r="H6" s="506"/>
      <c r="I6" s="507"/>
      <c r="J6" s="508"/>
      <c r="K6" s="509"/>
      <c r="L6" s="431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73" t="str">
        <f>'Org structure'!A2</f>
        <v>Vote 1 - Legislative Authority</v>
      </c>
      <c r="B7" s="447"/>
      <c r="C7" s="510">
        <f>SUM(C8:C17)</f>
        <v>0</v>
      </c>
      <c r="D7" s="451">
        <f t="shared" ref="D7:K7" si="0">SUM(D8:D17)</f>
        <v>0</v>
      </c>
      <c r="E7" s="448">
        <f t="shared" si="0"/>
        <v>0</v>
      </c>
      <c r="F7" s="450">
        <f t="shared" si="0"/>
        <v>0</v>
      </c>
      <c r="G7" s="448">
        <f t="shared" si="0"/>
        <v>0</v>
      </c>
      <c r="H7" s="450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9">
        <f t="shared" si="0"/>
        <v>0</v>
      </c>
      <c r="L7" s="431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4" t="str">
        <f>'Org structure'!E3</f>
        <v>1.1 - Office of the Major</v>
      </c>
      <c r="B8" s="452"/>
      <c r="C8" s="758"/>
      <c r="D8" s="759"/>
      <c r="E8" s="760"/>
      <c r="F8" s="761"/>
      <c r="G8" s="760"/>
      <c r="H8" s="761"/>
      <c r="I8" s="45">
        <f t="shared" si="1"/>
        <v>0</v>
      </c>
      <c r="J8" s="334" t="str">
        <f t="shared" si="2"/>
        <v/>
      </c>
      <c r="K8" s="762"/>
      <c r="L8" s="43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4" t="str">
        <f>'Org structure'!E4</f>
        <v>1.2 - Office of the Speaker</v>
      </c>
      <c r="B9" s="452"/>
      <c r="C9" s="758"/>
      <c r="D9" s="759"/>
      <c r="E9" s="760"/>
      <c r="F9" s="761"/>
      <c r="G9" s="760"/>
      <c r="H9" s="761"/>
      <c r="I9" s="45">
        <f t="shared" si="1"/>
        <v>0</v>
      </c>
      <c r="J9" s="334" t="str">
        <f t="shared" si="2"/>
        <v/>
      </c>
      <c r="K9" s="762"/>
      <c r="L9" s="431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4" t="str">
        <f>'Org structure'!E5</f>
        <v>1.3 - Council General</v>
      </c>
      <c r="B10" s="452"/>
      <c r="C10" s="758"/>
      <c r="D10" s="759"/>
      <c r="E10" s="760"/>
      <c r="F10" s="761"/>
      <c r="G10" s="760"/>
      <c r="H10" s="761"/>
      <c r="I10" s="45">
        <f t="shared" si="1"/>
        <v>0</v>
      </c>
      <c r="J10" s="334" t="str">
        <f t="shared" si="2"/>
        <v/>
      </c>
      <c r="K10" s="762"/>
      <c r="L10" s="43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4" t="str">
        <f>'Org structure'!E6</f>
        <v>1.4 - Whippery Office</v>
      </c>
      <c r="B11" s="452"/>
      <c r="C11" s="758"/>
      <c r="D11" s="759"/>
      <c r="E11" s="760"/>
      <c r="F11" s="761"/>
      <c r="G11" s="760"/>
      <c r="H11" s="761"/>
      <c r="I11" s="45">
        <f t="shared" si="1"/>
        <v>0</v>
      </c>
      <c r="J11" s="334" t="str">
        <f t="shared" si="2"/>
        <v/>
      </c>
      <c r="K11" s="762"/>
      <c r="L11" s="431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4" t="str">
        <f>'Org structure'!E7</f>
        <v>1.5 - Gender Equality &amp; Disability</v>
      </c>
      <c r="B12" s="452"/>
      <c r="C12" s="758"/>
      <c r="D12" s="759"/>
      <c r="E12" s="760"/>
      <c r="F12" s="761"/>
      <c r="G12" s="760"/>
      <c r="H12" s="761"/>
      <c r="I12" s="45">
        <f t="shared" si="1"/>
        <v>0</v>
      </c>
      <c r="J12" s="334" t="str">
        <f t="shared" si="2"/>
        <v/>
      </c>
      <c r="K12" s="762"/>
      <c r="L12" s="431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4" t="str">
        <f>'Org structure'!E8</f>
        <v>1.6 - Speaker</v>
      </c>
      <c r="B13" s="452"/>
      <c r="C13" s="758"/>
      <c r="D13" s="759"/>
      <c r="E13" s="760"/>
      <c r="F13" s="761"/>
      <c r="G13" s="760"/>
      <c r="H13" s="761"/>
      <c r="I13" s="45">
        <f t="shared" si="1"/>
        <v>0</v>
      </c>
      <c r="J13" s="334" t="str">
        <f t="shared" si="2"/>
        <v/>
      </c>
      <c r="K13" s="762"/>
      <c r="L13" s="431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4" t="str">
        <f>'Org structure'!E9</f>
        <v>1.7 - Mayoral committee</v>
      </c>
      <c r="B14" s="452"/>
      <c r="C14" s="758"/>
      <c r="D14" s="759"/>
      <c r="E14" s="760"/>
      <c r="F14" s="761"/>
      <c r="G14" s="760"/>
      <c r="H14" s="761"/>
      <c r="I14" s="45">
        <f t="shared" si="1"/>
        <v>0</v>
      </c>
      <c r="J14" s="334" t="str">
        <f t="shared" si="2"/>
        <v/>
      </c>
      <c r="K14" s="762"/>
      <c r="L14" s="431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4" t="str">
        <f>'Org structure'!E10</f>
        <v>1.8 - Executive Major</v>
      </c>
      <c r="B15" s="452"/>
      <c r="C15" s="758"/>
      <c r="D15" s="759"/>
      <c r="E15" s="760"/>
      <c r="F15" s="761"/>
      <c r="G15" s="760"/>
      <c r="H15" s="761"/>
      <c r="I15" s="45">
        <f t="shared" si="1"/>
        <v>0</v>
      </c>
      <c r="J15" s="334" t="str">
        <f t="shared" si="2"/>
        <v/>
      </c>
      <c r="K15" s="762"/>
      <c r="L15" s="431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4">
        <f>'Org structure'!E11</f>
        <v>0</v>
      </c>
      <c r="B16" s="452"/>
      <c r="C16" s="758"/>
      <c r="D16" s="759"/>
      <c r="E16" s="760"/>
      <c r="F16" s="761"/>
      <c r="G16" s="760"/>
      <c r="H16" s="761"/>
      <c r="I16" s="45">
        <f t="shared" si="1"/>
        <v>0</v>
      </c>
      <c r="J16" s="334" t="str">
        <f t="shared" si="2"/>
        <v/>
      </c>
      <c r="K16" s="762"/>
      <c r="L16" s="431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14">
        <f>'Org structure'!E12</f>
        <v>0</v>
      </c>
      <c r="B17" s="452"/>
      <c r="C17" s="758"/>
      <c r="D17" s="759"/>
      <c r="E17" s="760"/>
      <c r="F17" s="761"/>
      <c r="G17" s="760"/>
      <c r="H17" s="761"/>
      <c r="I17" s="45">
        <f t="shared" si="1"/>
        <v>0</v>
      </c>
      <c r="J17" s="334" t="str">
        <f t="shared" si="2"/>
        <v/>
      </c>
      <c r="K17" s="762"/>
      <c r="L17" s="431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73" t="str">
        <f>'Org structure'!A3</f>
        <v>Vote 2 - Office of the Municipal Manager</v>
      </c>
      <c r="B18" s="447"/>
      <c r="C18" s="510">
        <f>SUM(C19:C28)</f>
        <v>0</v>
      </c>
      <c r="D18" s="451">
        <f t="shared" ref="D18:K18" si="3">SUM(D19:D28)</f>
        <v>0</v>
      </c>
      <c r="E18" s="448">
        <f t="shared" si="3"/>
        <v>0</v>
      </c>
      <c r="F18" s="450">
        <f t="shared" si="3"/>
        <v>0</v>
      </c>
      <c r="G18" s="448">
        <f t="shared" si="3"/>
        <v>0</v>
      </c>
      <c r="H18" s="450">
        <f t="shared" si="3"/>
        <v>0</v>
      </c>
      <c r="I18" s="45">
        <f t="shared" si="1"/>
        <v>0</v>
      </c>
      <c r="J18" s="334" t="str">
        <f t="shared" si="2"/>
        <v/>
      </c>
      <c r="K18" s="449">
        <f t="shared" si="3"/>
        <v>0</v>
      </c>
      <c r="L18" s="43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4" t="str">
        <f>'Org structure'!E14</f>
        <v>2.1 - Municipal Manager Administration</v>
      </c>
      <c r="B19" s="452"/>
      <c r="C19" s="758"/>
      <c r="D19" s="759"/>
      <c r="E19" s="760"/>
      <c r="F19" s="761"/>
      <c r="G19" s="760"/>
      <c r="H19" s="761"/>
      <c r="I19" s="45">
        <f t="shared" si="1"/>
        <v>0</v>
      </c>
      <c r="J19" s="334" t="str">
        <f t="shared" si="2"/>
        <v/>
      </c>
      <c r="K19" s="762"/>
      <c r="L19" s="431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4" t="str">
        <f>'Org structure'!E15</f>
        <v>2.2 - Information Technology</v>
      </c>
      <c r="B20" s="452"/>
      <c r="C20" s="758"/>
      <c r="D20" s="759"/>
      <c r="E20" s="760"/>
      <c r="F20" s="761"/>
      <c r="G20" s="760"/>
      <c r="H20" s="761"/>
      <c r="I20" s="45">
        <f t="shared" si="1"/>
        <v>0</v>
      </c>
      <c r="J20" s="334" t="str">
        <f t="shared" si="2"/>
        <v/>
      </c>
      <c r="K20" s="762"/>
      <c r="L20" s="431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4" t="str">
        <f>'Org structure'!E16</f>
        <v>2.3 - Internal Audit</v>
      </c>
      <c r="B21" s="452"/>
      <c r="C21" s="758"/>
      <c r="D21" s="759"/>
      <c r="E21" s="760"/>
      <c r="F21" s="761"/>
      <c r="G21" s="760"/>
      <c r="H21" s="761"/>
      <c r="I21" s="45">
        <f t="shared" si="1"/>
        <v>0</v>
      </c>
      <c r="J21" s="334" t="str">
        <f t="shared" si="2"/>
        <v/>
      </c>
      <c r="K21" s="762"/>
      <c r="L21" s="43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4" t="str">
        <f>'Org structure'!E17</f>
        <v>2.4 - Communications</v>
      </c>
      <c r="B22" s="452"/>
      <c r="C22" s="758"/>
      <c r="D22" s="759"/>
      <c r="E22" s="760"/>
      <c r="F22" s="761"/>
      <c r="G22" s="760"/>
      <c r="H22" s="761"/>
      <c r="I22" s="45">
        <f t="shared" si="1"/>
        <v>0</v>
      </c>
      <c r="J22" s="334" t="str">
        <f t="shared" si="2"/>
        <v/>
      </c>
      <c r="K22" s="762"/>
      <c r="L22" s="4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4" t="str">
        <f>'Org structure'!E18</f>
        <v>2.5 - Risk Management</v>
      </c>
      <c r="B23" s="452"/>
      <c r="C23" s="758"/>
      <c r="D23" s="759"/>
      <c r="E23" s="760"/>
      <c r="F23" s="761"/>
      <c r="G23" s="760"/>
      <c r="H23" s="761"/>
      <c r="I23" s="45">
        <f t="shared" si="1"/>
        <v>0</v>
      </c>
      <c r="J23" s="334" t="str">
        <f t="shared" si="2"/>
        <v/>
      </c>
      <c r="K23" s="762"/>
      <c r="L23" s="4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4" t="str">
        <f>'Org structure'!E19</f>
        <v>2.6 - Security</v>
      </c>
      <c r="B24" s="452"/>
      <c r="C24" s="758"/>
      <c r="D24" s="759"/>
      <c r="E24" s="760"/>
      <c r="F24" s="761"/>
      <c r="G24" s="760"/>
      <c r="H24" s="761"/>
      <c r="I24" s="45">
        <f t="shared" si="1"/>
        <v>0</v>
      </c>
      <c r="J24" s="334" t="str">
        <f t="shared" si="2"/>
        <v/>
      </c>
      <c r="K24" s="762"/>
      <c r="L24" s="431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4" t="str">
        <f>'Org structure'!E20</f>
        <v>2.7 - Municipal Manager</v>
      </c>
      <c r="B25" s="452"/>
      <c r="C25" s="758"/>
      <c r="D25" s="759"/>
      <c r="E25" s="760"/>
      <c r="F25" s="761"/>
      <c r="G25" s="760"/>
      <c r="H25" s="761"/>
      <c r="I25" s="45">
        <f t="shared" si="1"/>
        <v>0</v>
      </c>
      <c r="J25" s="334" t="str">
        <f t="shared" si="2"/>
        <v/>
      </c>
      <c r="K25" s="762"/>
      <c r="L25" s="4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4">
        <f>'Org structure'!E21</f>
        <v>0</v>
      </c>
      <c r="B26" s="452"/>
      <c r="C26" s="758"/>
      <c r="D26" s="759"/>
      <c r="E26" s="760"/>
      <c r="F26" s="761"/>
      <c r="G26" s="760"/>
      <c r="H26" s="761"/>
      <c r="I26" s="45">
        <f t="shared" si="1"/>
        <v>0</v>
      </c>
      <c r="J26" s="334" t="str">
        <f t="shared" si="2"/>
        <v/>
      </c>
      <c r="K26" s="762"/>
      <c r="L26" s="431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4">
        <f>'Org structure'!E22</f>
        <v>0</v>
      </c>
      <c r="B27" s="452"/>
      <c r="C27" s="758"/>
      <c r="D27" s="759"/>
      <c r="E27" s="760"/>
      <c r="F27" s="761"/>
      <c r="G27" s="760"/>
      <c r="H27" s="761"/>
      <c r="I27" s="45">
        <f t="shared" si="1"/>
        <v>0</v>
      </c>
      <c r="J27" s="334" t="str">
        <f t="shared" si="2"/>
        <v/>
      </c>
      <c r="K27" s="762"/>
      <c r="L27" s="4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14">
        <f>'Org structure'!E23</f>
        <v>0</v>
      </c>
      <c r="B28" s="452"/>
      <c r="C28" s="758"/>
      <c r="D28" s="759"/>
      <c r="E28" s="760"/>
      <c r="F28" s="761"/>
      <c r="G28" s="760"/>
      <c r="H28" s="761"/>
      <c r="I28" s="45">
        <f t="shared" si="1"/>
        <v>0</v>
      </c>
      <c r="J28" s="334" t="str">
        <f t="shared" si="2"/>
        <v/>
      </c>
      <c r="K28" s="762"/>
      <c r="L28" s="431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73" t="str">
        <f>'Org structure'!A4</f>
        <v>Vote 3 - Corporate Services</v>
      </c>
      <c r="B29" s="447"/>
      <c r="C29" s="510">
        <f t="shared" ref="C29:K29" si="4">SUM(C30:C39)</f>
        <v>0</v>
      </c>
      <c r="D29" s="451">
        <f t="shared" si="4"/>
        <v>0</v>
      </c>
      <c r="E29" s="448">
        <f t="shared" si="4"/>
        <v>0</v>
      </c>
      <c r="F29" s="450">
        <f t="shared" si="4"/>
        <v>0</v>
      </c>
      <c r="G29" s="448">
        <f t="shared" si="4"/>
        <v>0</v>
      </c>
      <c r="H29" s="450">
        <f t="shared" si="4"/>
        <v>0</v>
      </c>
      <c r="I29" s="45">
        <f t="shared" si="1"/>
        <v>0</v>
      </c>
      <c r="J29" s="334" t="str">
        <f t="shared" si="2"/>
        <v/>
      </c>
      <c r="K29" s="449">
        <f t="shared" si="4"/>
        <v>0</v>
      </c>
      <c r="L29" s="431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4" t="str">
        <f>'Org structure'!E25</f>
        <v>3.1 - Corporate Administration</v>
      </c>
      <c r="B30" s="452"/>
      <c r="C30" s="758"/>
      <c r="D30" s="759"/>
      <c r="E30" s="760"/>
      <c r="F30" s="761"/>
      <c r="G30" s="760"/>
      <c r="H30" s="760"/>
      <c r="I30" s="259">
        <f t="shared" si="1"/>
        <v>0</v>
      </c>
      <c r="J30" s="334" t="str">
        <f t="shared" si="2"/>
        <v/>
      </c>
      <c r="K30" s="762"/>
      <c r="L30" s="431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4" t="str">
        <f>'Org structure'!E26</f>
        <v>3.2 - Human Resources</v>
      </c>
      <c r="B31" s="452"/>
      <c r="C31" s="758"/>
      <c r="D31" s="759"/>
      <c r="E31" s="760"/>
      <c r="F31" s="761"/>
      <c r="G31" s="760"/>
      <c r="H31" s="761"/>
      <c r="I31" s="45">
        <f t="shared" si="1"/>
        <v>0</v>
      </c>
      <c r="J31" s="334" t="str">
        <f t="shared" si="2"/>
        <v/>
      </c>
      <c r="K31" s="762"/>
      <c r="L31" s="431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4" t="str">
        <f>'Org structure'!E27</f>
        <v>3.3 - Offices &amp; Townhalls</v>
      </c>
      <c r="B32" s="452"/>
      <c r="C32" s="758"/>
      <c r="D32" s="759"/>
      <c r="E32" s="760"/>
      <c r="F32" s="761"/>
      <c r="G32" s="760"/>
      <c r="H32" s="761"/>
      <c r="I32" s="45">
        <f t="shared" si="1"/>
        <v>0</v>
      </c>
      <c r="J32" s="334" t="str">
        <f t="shared" si="2"/>
        <v/>
      </c>
      <c r="K32" s="762"/>
      <c r="L32" s="431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4" t="str">
        <f>'Org structure'!E28</f>
        <v>3.4 - Director Corporate</v>
      </c>
      <c r="B33" s="452"/>
      <c r="C33" s="758"/>
      <c r="D33" s="759"/>
      <c r="E33" s="760"/>
      <c r="F33" s="761"/>
      <c r="G33" s="760"/>
      <c r="H33" s="761"/>
      <c r="I33" s="45">
        <f t="shared" si="1"/>
        <v>0</v>
      </c>
      <c r="J33" s="334" t="str">
        <f t="shared" si="2"/>
        <v/>
      </c>
      <c r="K33" s="762"/>
      <c r="L33" s="43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4">
        <f>'Org structure'!E29</f>
        <v>0</v>
      </c>
      <c r="B34" s="452"/>
      <c r="C34" s="758"/>
      <c r="D34" s="759"/>
      <c r="E34" s="760"/>
      <c r="F34" s="761"/>
      <c r="G34" s="760"/>
      <c r="H34" s="761"/>
      <c r="I34" s="45">
        <f t="shared" si="1"/>
        <v>0</v>
      </c>
      <c r="J34" s="334" t="str">
        <f t="shared" si="2"/>
        <v/>
      </c>
      <c r="K34" s="762"/>
      <c r="L34" s="431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4">
        <f>'Org structure'!E30</f>
        <v>0</v>
      </c>
      <c r="B35" s="452"/>
      <c r="C35" s="758"/>
      <c r="D35" s="759"/>
      <c r="E35" s="760"/>
      <c r="F35" s="761"/>
      <c r="G35" s="760"/>
      <c r="H35" s="761"/>
      <c r="I35" s="45">
        <f t="shared" si="1"/>
        <v>0</v>
      </c>
      <c r="J35" s="334" t="str">
        <f t="shared" si="2"/>
        <v/>
      </c>
      <c r="K35" s="762"/>
      <c r="L35" s="431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4">
        <f>'Org structure'!E31</f>
        <v>0</v>
      </c>
      <c r="B36" s="452"/>
      <c r="C36" s="758"/>
      <c r="D36" s="759"/>
      <c r="E36" s="760"/>
      <c r="F36" s="761"/>
      <c r="G36" s="760"/>
      <c r="H36" s="761"/>
      <c r="I36" s="45">
        <f t="shared" si="1"/>
        <v>0</v>
      </c>
      <c r="J36" s="334" t="str">
        <f t="shared" si="2"/>
        <v/>
      </c>
      <c r="K36" s="762"/>
      <c r="L36" s="431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4">
        <f>'Org structure'!E32</f>
        <v>0</v>
      </c>
      <c r="B37" s="452"/>
      <c r="C37" s="758"/>
      <c r="D37" s="759"/>
      <c r="E37" s="760"/>
      <c r="F37" s="761"/>
      <c r="G37" s="760"/>
      <c r="H37" s="761"/>
      <c r="I37" s="45">
        <f t="shared" si="1"/>
        <v>0</v>
      </c>
      <c r="J37" s="334" t="str">
        <f t="shared" si="2"/>
        <v/>
      </c>
      <c r="K37" s="762"/>
      <c r="L37" s="431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4">
        <f>'Org structure'!E33</f>
        <v>0</v>
      </c>
      <c r="B38" s="452"/>
      <c r="C38" s="758"/>
      <c r="D38" s="759"/>
      <c r="E38" s="760"/>
      <c r="F38" s="761"/>
      <c r="G38" s="760"/>
      <c r="H38" s="761"/>
      <c r="I38" s="45">
        <f t="shared" si="1"/>
        <v>0</v>
      </c>
      <c r="J38" s="334" t="str">
        <f t="shared" si="2"/>
        <v/>
      </c>
      <c r="K38" s="762"/>
      <c r="L38" s="431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14">
        <f>'Org structure'!E34</f>
        <v>0</v>
      </c>
      <c r="B39" s="452"/>
      <c r="C39" s="758"/>
      <c r="D39" s="759"/>
      <c r="E39" s="760"/>
      <c r="F39" s="761"/>
      <c r="G39" s="760"/>
      <c r="H39" s="761"/>
      <c r="I39" s="45">
        <f t="shared" si="1"/>
        <v>0</v>
      </c>
      <c r="J39" s="334" t="str">
        <f t="shared" si="2"/>
        <v/>
      </c>
      <c r="K39" s="762"/>
      <c r="L39" s="431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73" t="str">
        <f>'Org structure'!A5</f>
        <v>Vote 4 - Financial Services</v>
      </c>
      <c r="B40" s="447"/>
      <c r="C40" s="510">
        <f t="shared" ref="C40:K40" si="5">SUM(C41:C50)</f>
        <v>0</v>
      </c>
      <c r="D40" s="451">
        <f t="shared" si="5"/>
        <v>0</v>
      </c>
      <c r="E40" s="448">
        <f t="shared" si="5"/>
        <v>0</v>
      </c>
      <c r="F40" s="450">
        <f t="shared" si="5"/>
        <v>0</v>
      </c>
      <c r="G40" s="448">
        <f t="shared" si="5"/>
        <v>0</v>
      </c>
      <c r="H40" s="450">
        <f t="shared" si="5"/>
        <v>0</v>
      </c>
      <c r="I40" s="45">
        <f t="shared" si="1"/>
        <v>0</v>
      </c>
      <c r="J40" s="334" t="str">
        <f t="shared" si="2"/>
        <v/>
      </c>
      <c r="K40" s="449">
        <f t="shared" si="5"/>
        <v>0</v>
      </c>
      <c r="L40" s="43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4" t="str">
        <f>'Org structure'!E36</f>
        <v>4.1 - Budget &amp; Reporting</v>
      </c>
      <c r="B41" s="452"/>
      <c r="C41" s="758"/>
      <c r="D41" s="759"/>
      <c r="E41" s="760"/>
      <c r="F41" s="761"/>
      <c r="G41" s="760"/>
      <c r="H41" s="761"/>
      <c r="I41" s="45">
        <f t="shared" si="1"/>
        <v>0</v>
      </c>
      <c r="J41" s="334" t="str">
        <f t="shared" si="2"/>
        <v/>
      </c>
      <c r="K41" s="762"/>
      <c r="L41" s="43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4" t="str">
        <f>'Org structure'!E37</f>
        <v>4.2 - Management</v>
      </c>
      <c r="B42" s="452"/>
      <c r="C42" s="758"/>
      <c r="D42" s="759"/>
      <c r="E42" s="760"/>
      <c r="F42" s="761"/>
      <c r="G42" s="760"/>
      <c r="H42" s="761"/>
      <c r="I42" s="45">
        <f t="shared" si="1"/>
        <v>0</v>
      </c>
      <c r="J42" s="334" t="str">
        <f t="shared" si="2"/>
        <v/>
      </c>
      <c r="K42" s="762"/>
      <c r="L42" s="431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4" t="str">
        <f>'Org structure'!E38</f>
        <v>4.3 - Financial Accounting</v>
      </c>
      <c r="B43" s="452"/>
      <c r="C43" s="758"/>
      <c r="D43" s="759"/>
      <c r="E43" s="760"/>
      <c r="F43" s="761"/>
      <c r="G43" s="760"/>
      <c r="H43" s="761"/>
      <c r="I43" s="45">
        <f t="shared" si="1"/>
        <v>0</v>
      </c>
      <c r="J43" s="334" t="str">
        <f t="shared" si="2"/>
        <v/>
      </c>
      <c r="K43" s="762"/>
      <c r="L43" s="431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4" t="str">
        <f>'Org structure'!E39</f>
        <v>4.4 - Income</v>
      </c>
      <c r="B44" s="452"/>
      <c r="C44" s="758"/>
      <c r="D44" s="759"/>
      <c r="E44" s="760"/>
      <c r="F44" s="761"/>
      <c r="G44" s="760"/>
      <c r="H44" s="761"/>
      <c r="I44" s="45">
        <f t="shared" si="1"/>
        <v>0</v>
      </c>
      <c r="J44" s="334" t="str">
        <f t="shared" si="2"/>
        <v/>
      </c>
      <c r="K44" s="762"/>
      <c r="L44" s="431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4" t="str">
        <f>'Org structure'!E40</f>
        <v>4.5 - Expenditure</v>
      </c>
      <c r="B45" s="452"/>
      <c r="C45" s="758"/>
      <c r="D45" s="759"/>
      <c r="E45" s="760"/>
      <c r="F45" s="761"/>
      <c r="G45" s="760"/>
      <c r="H45" s="761"/>
      <c r="I45" s="45">
        <f t="shared" si="1"/>
        <v>0</v>
      </c>
      <c r="J45" s="334" t="str">
        <f t="shared" si="2"/>
        <v/>
      </c>
      <c r="K45" s="762"/>
      <c r="L45" s="431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4" t="str">
        <f>'Org structure'!E41</f>
        <v>4.6 - Revenue Management</v>
      </c>
      <c r="B46" s="452"/>
      <c r="C46" s="758"/>
      <c r="D46" s="759"/>
      <c r="E46" s="760"/>
      <c r="F46" s="761"/>
      <c r="G46" s="760"/>
      <c r="H46" s="761"/>
      <c r="I46" s="45">
        <f t="shared" si="1"/>
        <v>0</v>
      </c>
      <c r="J46" s="334" t="str">
        <f t="shared" si="2"/>
        <v/>
      </c>
      <c r="K46" s="762"/>
      <c r="L46" s="431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4" t="str">
        <f>'Org structure'!E42</f>
        <v>4.7 - Finance Interns</v>
      </c>
      <c r="B47" s="452"/>
      <c r="C47" s="758"/>
      <c r="D47" s="759"/>
      <c r="E47" s="760"/>
      <c r="F47" s="761"/>
      <c r="G47" s="760"/>
      <c r="H47" s="761"/>
      <c r="I47" s="45">
        <f t="shared" si="1"/>
        <v>0</v>
      </c>
      <c r="J47" s="334" t="str">
        <f t="shared" si="2"/>
        <v/>
      </c>
      <c r="K47" s="762"/>
      <c r="L47" s="431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4" t="str">
        <f>'Org structure'!E43</f>
        <v>4.8 - Chief Financial Officer</v>
      </c>
      <c r="B48" s="452"/>
      <c r="C48" s="758"/>
      <c r="D48" s="759"/>
      <c r="E48" s="760"/>
      <c r="F48" s="761"/>
      <c r="G48" s="760"/>
      <c r="H48" s="761"/>
      <c r="I48" s="45">
        <f t="shared" si="1"/>
        <v>0</v>
      </c>
      <c r="J48" s="334" t="str">
        <f t="shared" si="2"/>
        <v/>
      </c>
      <c r="K48" s="762"/>
      <c r="L48" s="43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4">
        <f>'Org structure'!E44</f>
        <v>0</v>
      </c>
      <c r="B49" s="452"/>
      <c r="C49" s="758"/>
      <c r="D49" s="759"/>
      <c r="E49" s="760"/>
      <c r="F49" s="761"/>
      <c r="G49" s="760"/>
      <c r="H49" s="761"/>
      <c r="I49" s="45">
        <f t="shared" si="1"/>
        <v>0</v>
      </c>
      <c r="J49" s="334" t="str">
        <f t="shared" si="2"/>
        <v/>
      </c>
      <c r="K49" s="762"/>
      <c r="L49" s="431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14">
        <f>'Org structure'!E45</f>
        <v>0</v>
      </c>
      <c r="B50" s="452"/>
      <c r="C50" s="758"/>
      <c r="D50" s="759"/>
      <c r="E50" s="760"/>
      <c r="F50" s="761"/>
      <c r="G50" s="760"/>
      <c r="H50" s="761"/>
      <c r="I50" s="45">
        <f t="shared" si="1"/>
        <v>0</v>
      </c>
      <c r="J50" s="334" t="str">
        <f t="shared" si="2"/>
        <v/>
      </c>
      <c r="K50" s="762"/>
      <c r="L50" s="43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73" t="str">
        <f>'Org structure'!A6</f>
        <v>Vote 5 - Municipal Infrastructure</v>
      </c>
      <c r="B51" s="447"/>
      <c r="C51" s="510">
        <f>SUM(C52:C61)</f>
        <v>0</v>
      </c>
      <c r="D51" s="451">
        <f t="shared" ref="D51:K51" si="6">SUM(D52:D61)</f>
        <v>207841759</v>
      </c>
      <c r="E51" s="448">
        <f t="shared" si="6"/>
        <v>0</v>
      </c>
      <c r="F51" s="450">
        <f t="shared" si="6"/>
        <v>7637844.7800000003</v>
      </c>
      <c r="G51" s="448">
        <f t="shared" si="6"/>
        <v>76943639.790000007</v>
      </c>
      <c r="H51" s="450">
        <f t="shared" si="6"/>
        <v>207841759</v>
      </c>
      <c r="I51" s="45">
        <f t="shared" si="1"/>
        <v>-130898119.20999999</v>
      </c>
      <c r="J51" s="334">
        <f t="shared" si="2"/>
        <v>-0.62979701403508614</v>
      </c>
      <c r="K51" s="449">
        <f t="shared" si="6"/>
        <v>207841759</v>
      </c>
      <c r="L51" s="431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4" t="str">
        <f>'Org structure'!E47</f>
        <v>5.1 - Vihicle/ Workshop Maintenance</v>
      </c>
      <c r="B52" s="452"/>
      <c r="C52" s="758"/>
      <c r="D52" s="759"/>
      <c r="E52" s="760"/>
      <c r="F52" s="761"/>
      <c r="G52" s="760"/>
      <c r="H52" s="759"/>
      <c r="I52" s="45">
        <f t="shared" si="1"/>
        <v>0</v>
      </c>
      <c r="J52" s="334" t="str">
        <f t="shared" si="2"/>
        <v/>
      </c>
      <c r="K52" s="759"/>
      <c r="L52" s="431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4" t="str">
        <f>'Org structure'!E48</f>
        <v>5.2 - Electricity</v>
      </c>
      <c r="B53" s="452"/>
      <c r="C53" s="758"/>
      <c r="D53" s="759">
        <f>10000000</f>
        <v>10000000</v>
      </c>
      <c r="E53" s="760"/>
      <c r="F53" s="761">
        <f>2166667.17</f>
        <v>2166667.17</v>
      </c>
      <c r="G53" s="760">
        <f>3070175.44+2166667.17</f>
        <v>5236842.6099999994</v>
      </c>
      <c r="H53" s="759">
        <f>10000000</f>
        <v>10000000</v>
      </c>
      <c r="I53" s="45">
        <f t="shared" si="1"/>
        <v>-4763157.3900000006</v>
      </c>
      <c r="J53" s="334">
        <f t="shared" si="2"/>
        <v>-0.47631573900000007</v>
      </c>
      <c r="K53" s="759">
        <f>10000000</f>
        <v>10000000</v>
      </c>
      <c r="L53" s="431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4" t="str">
        <f>'Org structure'!E49</f>
        <v>5.3 - Adminstration</v>
      </c>
      <c r="B54" s="452"/>
      <c r="C54" s="758"/>
      <c r="D54" s="759"/>
      <c r="E54" s="760"/>
      <c r="F54" s="761"/>
      <c r="G54" s="760"/>
      <c r="H54" s="759"/>
      <c r="I54" s="45">
        <f t="shared" si="1"/>
        <v>0</v>
      </c>
      <c r="J54" s="334" t="str">
        <f t="shared" si="2"/>
        <v/>
      </c>
      <c r="K54" s="759"/>
      <c r="L54" s="431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4" t="str">
        <f>'Org structure'!E50</f>
        <v>5.4 - Maluti Water</v>
      </c>
      <c r="B55" s="452"/>
      <c r="C55" s="758"/>
      <c r="D55" s="759"/>
      <c r="E55" s="760"/>
      <c r="F55" s="761"/>
      <c r="G55" s="760"/>
      <c r="H55" s="759"/>
      <c r="I55" s="45">
        <f t="shared" si="1"/>
        <v>0</v>
      </c>
      <c r="J55" s="334" t="str">
        <f t="shared" si="2"/>
        <v/>
      </c>
      <c r="K55" s="759"/>
      <c r="L55" s="431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4" t="str">
        <f>'Org structure'!E51</f>
        <v>5.5 - PMU</v>
      </c>
      <c r="B56" s="452"/>
      <c r="C56" s="758"/>
      <c r="D56" s="759">
        <f>197841759</f>
        <v>197841759</v>
      </c>
      <c r="E56" s="760"/>
      <c r="F56" s="761">
        <f>5471177.61</f>
        <v>5471177.6100000003</v>
      </c>
      <c r="G56" s="760">
        <f>7909130.64+12362368.02+6046722.86+10434567.07+17866602.61+11616228.37+5471177.61</f>
        <v>71706797.180000007</v>
      </c>
      <c r="H56" s="759">
        <f>197841759</f>
        <v>197841759</v>
      </c>
      <c r="I56" s="45">
        <f t="shared" si="1"/>
        <v>-126134961.81999999</v>
      </c>
      <c r="J56" s="334">
        <f t="shared" si="2"/>
        <v>-0.63755479357621359</v>
      </c>
      <c r="K56" s="759">
        <f>197841759</f>
        <v>197841759</v>
      </c>
      <c r="L56" s="431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4" t="str">
        <f>'Org structure'!E52</f>
        <v>5.6 - Director Municipal Infrastructure</v>
      </c>
      <c r="B57" s="452"/>
      <c r="C57" s="758"/>
      <c r="D57" s="759"/>
      <c r="E57" s="760"/>
      <c r="F57" s="761"/>
      <c r="G57" s="760"/>
      <c r="H57" s="759"/>
      <c r="I57" s="45">
        <f t="shared" si="1"/>
        <v>0</v>
      </c>
      <c r="J57" s="334" t="str">
        <f t="shared" si="2"/>
        <v/>
      </c>
      <c r="K57" s="759"/>
      <c r="L57" s="431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4" t="str">
        <f>'Org structure'!E53</f>
        <v>5.7 - Refuse Removal &amp; Dumping Site</v>
      </c>
      <c r="B58" s="452"/>
      <c r="C58" s="758"/>
      <c r="D58" s="759"/>
      <c r="E58" s="760"/>
      <c r="F58" s="761"/>
      <c r="G58" s="760"/>
      <c r="H58" s="759"/>
      <c r="I58" s="45">
        <f t="shared" si="1"/>
        <v>0</v>
      </c>
      <c r="J58" s="334" t="str">
        <f t="shared" si="2"/>
        <v/>
      </c>
      <c r="K58" s="759"/>
      <c r="L58" s="431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4">
        <f>'Org structure'!E54</f>
        <v>0</v>
      </c>
      <c r="B59" s="452"/>
      <c r="C59" s="758"/>
      <c r="D59" s="759"/>
      <c r="E59" s="760"/>
      <c r="F59" s="761"/>
      <c r="G59" s="760"/>
      <c r="H59" s="759"/>
      <c r="I59" s="45">
        <f t="shared" si="1"/>
        <v>0</v>
      </c>
      <c r="J59" s="334" t="str">
        <f t="shared" si="2"/>
        <v/>
      </c>
      <c r="K59" s="759"/>
      <c r="L59" s="431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4">
        <f>'Org structure'!E55</f>
        <v>0</v>
      </c>
      <c r="B60" s="452"/>
      <c r="C60" s="758"/>
      <c r="D60" s="759"/>
      <c r="E60" s="760"/>
      <c r="F60" s="761"/>
      <c r="G60" s="760"/>
      <c r="H60" s="759"/>
      <c r="I60" s="45">
        <f t="shared" si="1"/>
        <v>0</v>
      </c>
      <c r="J60" s="334" t="str">
        <f t="shared" si="2"/>
        <v/>
      </c>
      <c r="K60" s="759"/>
      <c r="L60" s="431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14">
        <f>'Org structure'!E56</f>
        <v>0</v>
      </c>
      <c r="B61" s="452"/>
      <c r="C61" s="758"/>
      <c r="D61" s="759"/>
      <c r="E61" s="760"/>
      <c r="F61" s="761"/>
      <c r="G61" s="760"/>
      <c r="H61" s="759"/>
      <c r="I61" s="45">
        <f t="shared" si="1"/>
        <v>0</v>
      </c>
      <c r="J61" s="334" t="str">
        <f t="shared" si="2"/>
        <v/>
      </c>
      <c r="K61" s="759"/>
      <c r="L61" s="431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73" t="str">
        <f>'Org structure'!A7</f>
        <v>Vote 6 - Community Services</v>
      </c>
      <c r="B62" s="447"/>
      <c r="C62" s="510">
        <f>SUM(C63:C72)</f>
        <v>0</v>
      </c>
      <c r="D62" s="451">
        <f t="shared" ref="D62:K62" si="7">SUM(D63:D72)</f>
        <v>0</v>
      </c>
      <c r="E62" s="448">
        <f t="shared" si="7"/>
        <v>0</v>
      </c>
      <c r="F62" s="450">
        <f t="shared" si="7"/>
        <v>0</v>
      </c>
      <c r="G62" s="448">
        <f t="shared" si="7"/>
        <v>0</v>
      </c>
      <c r="H62" s="450">
        <f t="shared" si="7"/>
        <v>0</v>
      </c>
      <c r="I62" s="45">
        <f t="shared" si="1"/>
        <v>0</v>
      </c>
      <c r="J62" s="334" t="str">
        <f t="shared" si="2"/>
        <v/>
      </c>
      <c r="K62" s="449">
        <f t="shared" si="7"/>
        <v>0</v>
      </c>
      <c r="L62" s="431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4" t="str">
        <f>'Org structure'!E58</f>
        <v>6.1 - Administration</v>
      </c>
      <c r="B63" s="452"/>
      <c r="C63" s="758"/>
      <c r="D63" s="759"/>
      <c r="E63" s="760"/>
      <c r="F63" s="761"/>
      <c r="G63" s="760"/>
      <c r="H63" s="761"/>
      <c r="I63" s="45">
        <f t="shared" si="1"/>
        <v>0</v>
      </c>
      <c r="J63" s="334" t="str">
        <f t="shared" si="2"/>
        <v/>
      </c>
      <c r="K63" s="762"/>
      <c r="L63" s="431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4" t="str">
        <f>'Org structure'!E59</f>
        <v>6.2 - Social Services</v>
      </c>
      <c r="B64" s="452"/>
      <c r="C64" s="758"/>
      <c r="D64" s="759"/>
      <c r="E64" s="760"/>
      <c r="F64" s="761"/>
      <c r="G64" s="760"/>
      <c r="H64" s="761"/>
      <c r="I64" s="45">
        <f t="shared" si="1"/>
        <v>0</v>
      </c>
      <c r="J64" s="334" t="str">
        <f t="shared" si="2"/>
        <v/>
      </c>
      <c r="K64" s="762"/>
      <c r="L64" s="431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4" t="str">
        <f>'Org structure'!E60</f>
        <v>6.3 - Libraries</v>
      </c>
      <c r="B65" s="452"/>
      <c r="C65" s="758"/>
      <c r="D65" s="759"/>
      <c r="E65" s="760"/>
      <c r="F65" s="761"/>
      <c r="G65" s="760"/>
      <c r="H65" s="761"/>
      <c r="I65" s="45">
        <f t="shared" si="1"/>
        <v>0</v>
      </c>
      <c r="J65" s="334" t="str">
        <f t="shared" si="2"/>
        <v/>
      </c>
      <c r="K65" s="762"/>
      <c r="L65" s="431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4" t="str">
        <f>'Org structure'!E61</f>
        <v>6.4 - Cemetries</v>
      </c>
      <c r="B66" s="452"/>
      <c r="C66" s="758"/>
      <c r="D66" s="759"/>
      <c r="E66" s="760"/>
      <c r="F66" s="761"/>
      <c r="G66" s="760"/>
      <c r="H66" s="761"/>
      <c r="I66" s="45">
        <f t="shared" si="1"/>
        <v>0</v>
      </c>
      <c r="J66" s="334" t="str">
        <f t="shared" si="2"/>
        <v/>
      </c>
      <c r="K66" s="762"/>
      <c r="L66" s="431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4" t="str">
        <f>'Org structure'!E62</f>
        <v>6.5 - Director Community</v>
      </c>
      <c r="B67" s="452"/>
      <c r="C67" s="758"/>
      <c r="D67" s="759"/>
      <c r="E67" s="760"/>
      <c r="F67" s="761"/>
      <c r="G67" s="760"/>
      <c r="H67" s="761"/>
      <c r="I67" s="45">
        <f t="shared" si="1"/>
        <v>0</v>
      </c>
      <c r="J67" s="334" t="str">
        <f t="shared" si="2"/>
        <v/>
      </c>
      <c r="K67" s="762"/>
      <c r="L67" s="431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4">
        <f>'Org structure'!E63</f>
        <v>0</v>
      </c>
      <c r="B68" s="452"/>
      <c r="C68" s="758"/>
      <c r="D68" s="759"/>
      <c r="E68" s="760"/>
      <c r="F68" s="761"/>
      <c r="G68" s="760"/>
      <c r="H68" s="761"/>
      <c r="I68" s="45">
        <f t="shared" si="1"/>
        <v>0</v>
      </c>
      <c r="J68" s="334" t="str">
        <f t="shared" si="2"/>
        <v/>
      </c>
      <c r="K68" s="762"/>
      <c r="L68" s="43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4">
        <f>'Org structure'!E64</f>
        <v>0</v>
      </c>
      <c r="B69" s="452"/>
      <c r="C69" s="758"/>
      <c r="D69" s="759"/>
      <c r="E69" s="760"/>
      <c r="F69" s="761"/>
      <c r="G69" s="760"/>
      <c r="H69" s="761"/>
      <c r="I69" s="45">
        <f t="shared" si="1"/>
        <v>0</v>
      </c>
      <c r="J69" s="334" t="str">
        <f t="shared" si="2"/>
        <v/>
      </c>
      <c r="K69" s="762"/>
      <c r="L69" s="431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4">
        <f>'Org structure'!E65</f>
        <v>0</v>
      </c>
      <c r="B70" s="452"/>
      <c r="C70" s="758"/>
      <c r="D70" s="759"/>
      <c r="E70" s="760"/>
      <c r="F70" s="761"/>
      <c r="G70" s="760"/>
      <c r="H70" s="761"/>
      <c r="I70" s="45">
        <f t="shared" si="1"/>
        <v>0</v>
      </c>
      <c r="J70" s="334" t="str">
        <f t="shared" si="2"/>
        <v/>
      </c>
      <c r="K70" s="762"/>
      <c r="L70" s="431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4">
        <f>'Org structure'!E66</f>
        <v>0</v>
      </c>
      <c r="B71" s="452"/>
      <c r="C71" s="758"/>
      <c r="D71" s="759"/>
      <c r="E71" s="760"/>
      <c r="F71" s="761"/>
      <c r="G71" s="760"/>
      <c r="H71" s="761"/>
      <c r="I71" s="45">
        <f t="shared" ref="I71:I134" si="8">G71-H71</f>
        <v>0</v>
      </c>
      <c r="J71" s="334" t="str">
        <f t="shared" ref="J71:J134" si="9">IF(I71=0,"",I71/H71)</f>
        <v/>
      </c>
      <c r="K71" s="762"/>
      <c r="L71" s="431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14">
        <f>'Org structure'!E67</f>
        <v>0</v>
      </c>
      <c r="B72" s="452"/>
      <c r="C72" s="758"/>
      <c r="D72" s="759"/>
      <c r="E72" s="760"/>
      <c r="F72" s="761"/>
      <c r="G72" s="760"/>
      <c r="H72" s="761"/>
      <c r="I72" s="45">
        <f t="shared" si="8"/>
        <v>0</v>
      </c>
      <c r="J72" s="334" t="str">
        <f t="shared" si="9"/>
        <v/>
      </c>
      <c r="K72" s="762"/>
      <c r="L72" s="431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73" t="str">
        <f>'Org structure'!A8</f>
        <v>Vote 7 - Public Safety</v>
      </c>
      <c r="B73" s="447"/>
      <c r="C73" s="510">
        <f t="shared" ref="C73:K73" si="10">SUM(C74:C83)</f>
        <v>0</v>
      </c>
      <c r="D73" s="451">
        <f t="shared" si="10"/>
        <v>0</v>
      </c>
      <c r="E73" s="448">
        <f t="shared" si="10"/>
        <v>0</v>
      </c>
      <c r="F73" s="450">
        <f t="shared" si="10"/>
        <v>0</v>
      </c>
      <c r="G73" s="448">
        <f t="shared" si="10"/>
        <v>0</v>
      </c>
      <c r="H73" s="450">
        <f t="shared" si="10"/>
        <v>0</v>
      </c>
      <c r="I73" s="45">
        <f t="shared" si="8"/>
        <v>0</v>
      </c>
      <c r="J73" s="334" t="str">
        <f t="shared" si="9"/>
        <v/>
      </c>
      <c r="K73" s="449">
        <f t="shared" si="10"/>
        <v>0</v>
      </c>
      <c r="L73" s="431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4" t="str">
        <f>'Org structure'!E69</f>
        <v>7.1 - Disaster Management</v>
      </c>
      <c r="B74" s="452"/>
      <c r="C74" s="758"/>
      <c r="D74" s="759"/>
      <c r="E74" s="760"/>
      <c r="F74" s="761"/>
      <c r="G74" s="760"/>
      <c r="H74" s="761"/>
      <c r="I74" s="45">
        <f t="shared" si="8"/>
        <v>0</v>
      </c>
      <c r="J74" s="334" t="str">
        <f t="shared" si="9"/>
        <v/>
      </c>
      <c r="K74" s="762"/>
      <c r="L74" s="431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4" t="str">
        <f>'Org structure'!E70</f>
        <v>7.2 - Traffic Control</v>
      </c>
      <c r="B75" s="452"/>
      <c r="C75" s="758"/>
      <c r="D75" s="759"/>
      <c r="E75" s="760"/>
      <c r="F75" s="761"/>
      <c r="G75" s="760"/>
      <c r="H75" s="761"/>
      <c r="I75" s="45">
        <f t="shared" si="8"/>
        <v>0</v>
      </c>
      <c r="J75" s="334" t="str">
        <f t="shared" si="9"/>
        <v/>
      </c>
      <c r="K75" s="762"/>
      <c r="L75" s="431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4" t="str">
        <f>'Org structure'!E71</f>
        <v>7.3 - Fire Protection</v>
      </c>
      <c r="B76" s="452"/>
      <c r="C76" s="758"/>
      <c r="D76" s="759"/>
      <c r="E76" s="760"/>
      <c r="F76" s="761"/>
      <c r="G76" s="760"/>
      <c r="H76" s="761"/>
      <c r="I76" s="45">
        <f t="shared" si="8"/>
        <v>0</v>
      </c>
      <c r="J76" s="334" t="str">
        <f t="shared" si="9"/>
        <v/>
      </c>
      <c r="K76" s="762"/>
      <c r="L76" s="431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4" t="str">
        <f>'Org structure'!E72</f>
        <v>7.4 - Public Safety &amp; Transport</v>
      </c>
      <c r="B77" s="452"/>
      <c r="C77" s="758"/>
      <c r="D77" s="759"/>
      <c r="E77" s="760"/>
      <c r="F77" s="761"/>
      <c r="G77" s="760"/>
      <c r="H77" s="761"/>
      <c r="I77" s="45">
        <f t="shared" si="8"/>
        <v>0</v>
      </c>
      <c r="J77" s="334" t="str">
        <f t="shared" si="9"/>
        <v/>
      </c>
      <c r="K77" s="762"/>
      <c r="L77" s="431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4" t="str">
        <f>'Org structure'!E73</f>
        <v>7.5 - Security Guards</v>
      </c>
      <c r="B78" s="452"/>
      <c r="C78" s="758"/>
      <c r="D78" s="759"/>
      <c r="E78" s="760"/>
      <c r="F78" s="761"/>
      <c r="G78" s="760"/>
      <c r="H78" s="761"/>
      <c r="I78" s="45">
        <f t="shared" si="8"/>
        <v>0</v>
      </c>
      <c r="J78" s="334" t="str">
        <f t="shared" si="9"/>
        <v/>
      </c>
      <c r="K78" s="762"/>
      <c r="L78" s="431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>
      <c r="A79" s="414" t="str">
        <f>'Org structure'!E74</f>
        <v>7.6 - Director Public Safety</v>
      </c>
      <c r="B79" s="452"/>
      <c r="C79" s="758"/>
      <c r="D79" s="759"/>
      <c r="E79" s="760"/>
      <c r="F79" s="761"/>
      <c r="G79" s="760"/>
      <c r="H79" s="761"/>
      <c r="I79" s="45">
        <f t="shared" si="8"/>
        <v>0</v>
      </c>
      <c r="J79" s="334" t="str">
        <f t="shared" si="9"/>
        <v/>
      </c>
      <c r="K79" s="762"/>
      <c r="L79" s="453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4" t="str">
        <f>'Org structure'!E75</f>
        <v>7.7 - Roads and stormwater</v>
      </c>
      <c r="B80" s="452"/>
      <c r="C80" s="758"/>
      <c r="D80" s="759"/>
      <c r="E80" s="760"/>
      <c r="F80" s="761"/>
      <c r="G80" s="760"/>
      <c r="H80" s="761"/>
      <c r="I80" s="45">
        <f t="shared" si="8"/>
        <v>0</v>
      </c>
      <c r="J80" s="334" t="str">
        <f t="shared" si="9"/>
        <v/>
      </c>
      <c r="K80" s="762"/>
      <c r="L80" s="453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4">
        <f>'Org structure'!E76</f>
        <v>0</v>
      </c>
      <c r="B81" s="452"/>
      <c r="C81" s="758"/>
      <c r="D81" s="759"/>
      <c r="E81" s="760"/>
      <c r="F81" s="761"/>
      <c r="G81" s="760"/>
      <c r="H81" s="761"/>
      <c r="I81" s="45">
        <f t="shared" si="8"/>
        <v>0</v>
      </c>
      <c r="J81" s="334" t="str">
        <f t="shared" si="9"/>
        <v/>
      </c>
      <c r="K81" s="762"/>
      <c r="L81" s="453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4">
        <f>'Org structure'!E77</f>
        <v>0</v>
      </c>
      <c r="B82" s="452"/>
      <c r="C82" s="758"/>
      <c r="D82" s="759"/>
      <c r="E82" s="760"/>
      <c r="F82" s="761"/>
      <c r="G82" s="760"/>
      <c r="H82" s="761"/>
      <c r="I82" s="45">
        <f t="shared" si="8"/>
        <v>0</v>
      </c>
      <c r="J82" s="334" t="str">
        <f t="shared" si="9"/>
        <v/>
      </c>
      <c r="K82" s="762"/>
      <c r="L82" s="453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14">
        <f>'Org structure'!E78</f>
        <v>0</v>
      </c>
      <c r="B83" s="452"/>
      <c r="C83" s="758"/>
      <c r="D83" s="759"/>
      <c r="E83" s="760"/>
      <c r="F83" s="761"/>
      <c r="G83" s="760"/>
      <c r="H83" s="761"/>
      <c r="I83" s="45">
        <f t="shared" si="8"/>
        <v>0</v>
      </c>
      <c r="J83" s="334" t="str">
        <f t="shared" si="9"/>
        <v/>
      </c>
      <c r="K83" s="762"/>
      <c r="L83" s="453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73" t="str">
        <f>'Org structure'!A9</f>
        <v>Vote 8 - Parks, Sports &amp; Recreation</v>
      </c>
      <c r="B84" s="452"/>
      <c r="C84" s="510">
        <f>SUM(C85:C94)</f>
        <v>0</v>
      </c>
      <c r="D84" s="451">
        <f t="shared" ref="D84:K84" si="11">SUM(D85:D94)</f>
        <v>0</v>
      </c>
      <c r="E84" s="448">
        <f t="shared" si="11"/>
        <v>0</v>
      </c>
      <c r="F84" s="450">
        <f t="shared" si="11"/>
        <v>0</v>
      </c>
      <c r="G84" s="448">
        <f t="shared" si="11"/>
        <v>0</v>
      </c>
      <c r="H84" s="450">
        <f t="shared" si="11"/>
        <v>0</v>
      </c>
      <c r="I84" s="45">
        <f t="shared" si="8"/>
        <v>0</v>
      </c>
      <c r="J84" s="334" t="str">
        <f t="shared" si="9"/>
        <v/>
      </c>
      <c r="K84" s="449">
        <f t="shared" si="11"/>
        <v>0</v>
      </c>
      <c r="L84" s="453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4" t="str">
        <f>'Org structure'!E80</f>
        <v>8.1 - Administration</v>
      </c>
      <c r="B85" s="452"/>
      <c r="C85" s="758"/>
      <c r="D85" s="759"/>
      <c r="E85" s="760"/>
      <c r="F85" s="761"/>
      <c r="G85" s="760"/>
      <c r="H85" s="761"/>
      <c r="I85" s="45">
        <f t="shared" si="8"/>
        <v>0</v>
      </c>
      <c r="J85" s="334" t="str">
        <f t="shared" si="9"/>
        <v/>
      </c>
      <c r="K85" s="762"/>
      <c r="L85" s="453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4" t="str">
        <f>'Org structure'!E81</f>
        <v>8.2 - Director Parks</v>
      </c>
      <c r="B86" s="452"/>
      <c r="C86" s="758"/>
      <c r="D86" s="759"/>
      <c r="E86" s="760"/>
      <c r="F86" s="761"/>
      <c r="G86" s="760"/>
      <c r="H86" s="761"/>
      <c r="I86" s="45">
        <f t="shared" si="8"/>
        <v>0</v>
      </c>
      <c r="J86" s="334" t="str">
        <f t="shared" si="9"/>
        <v/>
      </c>
      <c r="K86" s="762"/>
      <c r="L86" s="453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4">
        <f>'Org structure'!E82</f>
        <v>0</v>
      </c>
      <c r="B87" s="452"/>
      <c r="C87" s="758"/>
      <c r="D87" s="759"/>
      <c r="E87" s="760"/>
      <c r="F87" s="761"/>
      <c r="G87" s="760"/>
      <c r="H87" s="761"/>
      <c r="I87" s="45">
        <f t="shared" si="8"/>
        <v>0</v>
      </c>
      <c r="J87" s="334" t="str">
        <f t="shared" si="9"/>
        <v/>
      </c>
      <c r="K87" s="762"/>
      <c r="L87" s="453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4">
        <f>'Org structure'!E83</f>
        <v>0</v>
      </c>
      <c r="B88" s="452"/>
      <c r="C88" s="758"/>
      <c r="D88" s="759"/>
      <c r="E88" s="760"/>
      <c r="F88" s="761"/>
      <c r="G88" s="760"/>
      <c r="H88" s="761"/>
      <c r="I88" s="45">
        <f t="shared" si="8"/>
        <v>0</v>
      </c>
      <c r="J88" s="334" t="str">
        <f t="shared" si="9"/>
        <v/>
      </c>
      <c r="K88" s="762"/>
      <c r="L88" s="453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4">
        <f>'Org structure'!E84</f>
        <v>0</v>
      </c>
      <c r="B89" s="452"/>
      <c r="C89" s="758"/>
      <c r="D89" s="759"/>
      <c r="E89" s="760"/>
      <c r="F89" s="761"/>
      <c r="G89" s="760"/>
      <c r="H89" s="761"/>
      <c r="I89" s="45">
        <f t="shared" si="8"/>
        <v>0</v>
      </c>
      <c r="J89" s="334" t="str">
        <f t="shared" si="9"/>
        <v/>
      </c>
      <c r="K89" s="762"/>
      <c r="L89" s="453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4">
        <f>'Org structure'!E85</f>
        <v>0</v>
      </c>
      <c r="B90" s="452"/>
      <c r="C90" s="758"/>
      <c r="D90" s="759"/>
      <c r="E90" s="760"/>
      <c r="F90" s="761"/>
      <c r="G90" s="760"/>
      <c r="H90" s="761"/>
      <c r="I90" s="45">
        <f t="shared" si="8"/>
        <v>0</v>
      </c>
      <c r="J90" s="334" t="str">
        <f t="shared" si="9"/>
        <v/>
      </c>
      <c r="K90" s="762"/>
      <c r="L90" s="453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4">
        <f>'Org structure'!E86</f>
        <v>0</v>
      </c>
      <c r="B91" s="452"/>
      <c r="C91" s="758"/>
      <c r="D91" s="759"/>
      <c r="E91" s="760"/>
      <c r="F91" s="761"/>
      <c r="G91" s="760"/>
      <c r="H91" s="761"/>
      <c r="I91" s="45">
        <f t="shared" si="8"/>
        <v>0</v>
      </c>
      <c r="J91" s="334" t="str">
        <f t="shared" si="9"/>
        <v/>
      </c>
      <c r="K91" s="762"/>
      <c r="L91" s="453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4">
        <f>'Org structure'!E87</f>
        <v>0</v>
      </c>
      <c r="B92" s="452"/>
      <c r="C92" s="758"/>
      <c r="D92" s="759"/>
      <c r="E92" s="760"/>
      <c r="F92" s="761"/>
      <c r="G92" s="760"/>
      <c r="H92" s="761"/>
      <c r="I92" s="45">
        <f t="shared" si="8"/>
        <v>0</v>
      </c>
      <c r="J92" s="334" t="str">
        <f t="shared" si="9"/>
        <v/>
      </c>
      <c r="K92" s="762"/>
      <c r="L92" s="453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4">
        <f>'Org structure'!E88</f>
        <v>0</v>
      </c>
      <c r="B93" s="452"/>
      <c r="C93" s="758"/>
      <c r="D93" s="759"/>
      <c r="E93" s="760"/>
      <c r="F93" s="761"/>
      <c r="G93" s="760"/>
      <c r="H93" s="761"/>
      <c r="I93" s="45">
        <f t="shared" si="8"/>
        <v>0</v>
      </c>
      <c r="J93" s="334" t="str">
        <f t="shared" si="9"/>
        <v/>
      </c>
      <c r="K93" s="762"/>
      <c r="L93" s="453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14">
        <f>'Org structure'!E89</f>
        <v>0</v>
      </c>
      <c r="B94" s="452"/>
      <c r="C94" s="758"/>
      <c r="D94" s="759"/>
      <c r="E94" s="760"/>
      <c r="F94" s="761"/>
      <c r="G94" s="760"/>
      <c r="H94" s="761"/>
      <c r="I94" s="45">
        <f t="shared" si="8"/>
        <v>0</v>
      </c>
      <c r="J94" s="334" t="str">
        <f t="shared" si="9"/>
        <v/>
      </c>
      <c r="K94" s="762"/>
      <c r="L94" s="453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73" t="str">
        <f>'Org structure'!A10</f>
        <v>Vote 9 - LED &amp; Tourism</v>
      </c>
      <c r="B95" s="452"/>
      <c r="C95" s="510">
        <f>SUM(C96:C105)</f>
        <v>0</v>
      </c>
      <c r="D95" s="451">
        <f t="shared" ref="D95:K95" si="12">SUM(D96:D105)</f>
        <v>0</v>
      </c>
      <c r="E95" s="448">
        <f t="shared" si="12"/>
        <v>0</v>
      </c>
      <c r="F95" s="450">
        <f t="shared" si="12"/>
        <v>0</v>
      </c>
      <c r="G95" s="448">
        <f t="shared" si="12"/>
        <v>0</v>
      </c>
      <c r="H95" s="450">
        <f t="shared" si="12"/>
        <v>0</v>
      </c>
      <c r="I95" s="45">
        <f t="shared" si="8"/>
        <v>0</v>
      </c>
      <c r="J95" s="334" t="str">
        <f t="shared" si="9"/>
        <v/>
      </c>
      <c r="K95" s="449">
        <f t="shared" si="12"/>
        <v>0</v>
      </c>
      <c r="L95" s="453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4" t="str">
        <f>'Org structure'!E91</f>
        <v>9.1 - Administration</v>
      </c>
      <c r="B96" s="452"/>
      <c r="C96" s="758"/>
      <c r="D96" s="759"/>
      <c r="E96" s="760"/>
      <c r="F96" s="761"/>
      <c r="G96" s="760"/>
      <c r="H96" s="761"/>
      <c r="I96" s="45">
        <f t="shared" si="8"/>
        <v>0</v>
      </c>
      <c r="J96" s="334" t="str">
        <f t="shared" si="9"/>
        <v/>
      </c>
      <c r="K96" s="762"/>
      <c r="L96" s="453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4" t="str">
        <f>'Org structure'!E92</f>
        <v>9.2 - Local Economic Development</v>
      </c>
      <c r="B97" s="452"/>
      <c r="C97" s="758"/>
      <c r="D97" s="759"/>
      <c r="E97" s="760"/>
      <c r="F97" s="761"/>
      <c r="G97" s="760"/>
      <c r="H97" s="761"/>
      <c r="I97" s="45">
        <f t="shared" si="8"/>
        <v>0</v>
      </c>
      <c r="J97" s="334" t="str">
        <f t="shared" si="9"/>
        <v/>
      </c>
      <c r="K97" s="762"/>
      <c r="L97" s="453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4" t="str">
        <f>'Org structure'!E93</f>
        <v>9.3 - Tourism</v>
      </c>
      <c r="B98" s="452"/>
      <c r="C98" s="758"/>
      <c r="D98" s="759"/>
      <c r="E98" s="760"/>
      <c r="F98" s="761"/>
      <c r="G98" s="760"/>
      <c r="H98" s="761"/>
      <c r="I98" s="45">
        <f t="shared" si="8"/>
        <v>0</v>
      </c>
      <c r="J98" s="334" t="str">
        <f t="shared" si="9"/>
        <v/>
      </c>
      <c r="K98" s="762"/>
      <c r="L98" s="453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4" t="str">
        <f>'Org structure'!E94</f>
        <v>9.4 - Director LED</v>
      </c>
      <c r="B99" s="452"/>
      <c r="C99" s="758"/>
      <c r="D99" s="759"/>
      <c r="E99" s="760"/>
      <c r="F99" s="761"/>
      <c r="G99" s="760"/>
      <c r="H99" s="761"/>
      <c r="I99" s="45">
        <f t="shared" si="8"/>
        <v>0</v>
      </c>
      <c r="J99" s="334" t="str">
        <f t="shared" si="9"/>
        <v/>
      </c>
      <c r="K99" s="762"/>
      <c r="L99" s="453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4">
        <f>'Org structure'!E95</f>
        <v>0</v>
      </c>
      <c r="B100" s="452"/>
      <c r="C100" s="758"/>
      <c r="D100" s="759"/>
      <c r="E100" s="760"/>
      <c r="F100" s="761"/>
      <c r="G100" s="760"/>
      <c r="H100" s="761"/>
      <c r="I100" s="45">
        <f t="shared" si="8"/>
        <v>0</v>
      </c>
      <c r="J100" s="334" t="str">
        <f t="shared" si="9"/>
        <v/>
      </c>
      <c r="K100" s="762"/>
      <c r="L100" s="453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4">
        <f>'Org structure'!E96</f>
        <v>0</v>
      </c>
      <c r="B101" s="452"/>
      <c r="C101" s="758"/>
      <c r="D101" s="759"/>
      <c r="E101" s="760"/>
      <c r="F101" s="761"/>
      <c r="G101" s="760"/>
      <c r="H101" s="761"/>
      <c r="I101" s="45">
        <f t="shared" si="8"/>
        <v>0</v>
      </c>
      <c r="J101" s="334" t="str">
        <f t="shared" si="9"/>
        <v/>
      </c>
      <c r="K101" s="762"/>
      <c r="L101" s="453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4">
        <f>'Org structure'!E97</f>
        <v>0</v>
      </c>
      <c r="B102" s="452"/>
      <c r="C102" s="758"/>
      <c r="D102" s="759"/>
      <c r="E102" s="760"/>
      <c r="F102" s="761"/>
      <c r="G102" s="760"/>
      <c r="H102" s="761"/>
      <c r="I102" s="45">
        <f t="shared" si="8"/>
        <v>0</v>
      </c>
      <c r="J102" s="334" t="str">
        <f t="shared" si="9"/>
        <v/>
      </c>
      <c r="K102" s="762"/>
      <c r="L102" s="453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4">
        <f>'Org structure'!E98</f>
        <v>0</v>
      </c>
      <c r="B103" s="452"/>
      <c r="C103" s="758"/>
      <c r="D103" s="759"/>
      <c r="E103" s="760"/>
      <c r="F103" s="761"/>
      <c r="G103" s="760"/>
      <c r="H103" s="761"/>
      <c r="I103" s="45">
        <f t="shared" si="8"/>
        <v>0</v>
      </c>
      <c r="J103" s="334" t="str">
        <f t="shared" si="9"/>
        <v/>
      </c>
      <c r="K103" s="762"/>
      <c r="L103" s="453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4">
        <f>'Org structure'!E99</f>
        <v>0</v>
      </c>
      <c r="B104" s="452"/>
      <c r="C104" s="758"/>
      <c r="D104" s="759"/>
      <c r="E104" s="760"/>
      <c r="F104" s="761"/>
      <c r="G104" s="760"/>
      <c r="H104" s="761"/>
      <c r="I104" s="45">
        <f t="shared" si="8"/>
        <v>0</v>
      </c>
      <c r="J104" s="334" t="str">
        <f t="shared" si="9"/>
        <v/>
      </c>
      <c r="K104" s="762"/>
      <c r="L104" s="453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14">
        <f>'Org structure'!E100</f>
        <v>0</v>
      </c>
      <c r="B105" s="452"/>
      <c r="C105" s="758"/>
      <c r="D105" s="759"/>
      <c r="E105" s="760"/>
      <c r="F105" s="761"/>
      <c r="G105" s="760"/>
      <c r="H105" s="761"/>
      <c r="I105" s="45">
        <f t="shared" si="8"/>
        <v>0</v>
      </c>
      <c r="J105" s="334" t="str">
        <f t="shared" si="9"/>
        <v/>
      </c>
      <c r="K105" s="762"/>
      <c r="L105" s="453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73" t="str">
        <f>'Org structure'!A11</f>
        <v>Vote 10 - Housing Spatial Development &amp; Planning</v>
      </c>
      <c r="B106" s="452"/>
      <c r="C106" s="510">
        <f>SUM(C107:C116)</f>
        <v>0</v>
      </c>
      <c r="D106" s="451">
        <f t="shared" ref="D106:K106" si="13">SUM(D107:D116)</f>
        <v>0</v>
      </c>
      <c r="E106" s="448">
        <f t="shared" si="13"/>
        <v>0</v>
      </c>
      <c r="F106" s="450">
        <f t="shared" si="13"/>
        <v>0</v>
      </c>
      <c r="G106" s="448">
        <f t="shared" si="13"/>
        <v>0</v>
      </c>
      <c r="H106" s="450">
        <f t="shared" si="13"/>
        <v>0</v>
      </c>
      <c r="I106" s="45">
        <f t="shared" si="8"/>
        <v>0</v>
      </c>
      <c r="J106" s="334" t="str">
        <f t="shared" si="9"/>
        <v/>
      </c>
      <c r="K106" s="449">
        <f t="shared" si="13"/>
        <v>0</v>
      </c>
      <c r="L106" s="453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4" t="str">
        <f>'Org structure'!E102</f>
        <v>10.1 - Housing Services</v>
      </c>
      <c r="B107" s="452"/>
      <c r="C107" s="758"/>
      <c r="D107" s="759"/>
      <c r="E107" s="760"/>
      <c r="F107" s="761"/>
      <c r="G107" s="760"/>
      <c r="H107" s="761"/>
      <c r="I107" s="45">
        <f t="shared" si="8"/>
        <v>0</v>
      </c>
      <c r="J107" s="334" t="str">
        <f t="shared" si="9"/>
        <v/>
      </c>
      <c r="K107" s="762"/>
      <c r="L107" s="453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4" t="str">
        <f>'Org structure'!E103</f>
        <v>10.2 - Council Building &amp; Estates</v>
      </c>
      <c r="B108" s="452"/>
      <c r="C108" s="758"/>
      <c r="D108" s="759"/>
      <c r="E108" s="760"/>
      <c r="F108" s="761"/>
      <c r="G108" s="760"/>
      <c r="H108" s="761"/>
      <c r="I108" s="45">
        <f t="shared" si="8"/>
        <v>0</v>
      </c>
      <c r="J108" s="334" t="str">
        <f t="shared" si="9"/>
        <v/>
      </c>
      <c r="K108" s="762"/>
      <c r="L108" s="453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4" t="str">
        <f>'Org structure'!E104</f>
        <v>10.3 - Town Planning</v>
      </c>
      <c r="B109" s="452"/>
      <c r="C109" s="758"/>
      <c r="D109" s="759"/>
      <c r="E109" s="760"/>
      <c r="F109" s="761"/>
      <c r="G109" s="760"/>
      <c r="H109" s="761"/>
      <c r="I109" s="45">
        <f t="shared" si="8"/>
        <v>0</v>
      </c>
      <c r="J109" s="334" t="str">
        <f t="shared" si="9"/>
        <v/>
      </c>
      <c r="K109" s="762"/>
      <c r="L109" s="453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4" t="str">
        <f>'Org structure'!E105</f>
        <v>10.4 - Building Inspections</v>
      </c>
      <c r="B110" s="452"/>
      <c r="C110" s="758"/>
      <c r="D110" s="759"/>
      <c r="E110" s="760"/>
      <c r="F110" s="761"/>
      <c r="G110" s="760"/>
      <c r="H110" s="761"/>
      <c r="I110" s="45">
        <f t="shared" si="8"/>
        <v>0</v>
      </c>
      <c r="J110" s="334" t="str">
        <f t="shared" si="9"/>
        <v/>
      </c>
      <c r="K110" s="762"/>
      <c r="L110" s="453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4" t="str">
        <f>'Org structure'!E106</f>
        <v>10.5 - Spartial Planning &amp; Development</v>
      </c>
      <c r="B111" s="452"/>
      <c r="C111" s="758"/>
      <c r="D111" s="759"/>
      <c r="E111" s="760"/>
      <c r="F111" s="761"/>
      <c r="G111" s="760"/>
      <c r="H111" s="761"/>
      <c r="I111" s="45">
        <f t="shared" si="8"/>
        <v>0</v>
      </c>
      <c r="J111" s="334" t="str">
        <f t="shared" si="9"/>
        <v/>
      </c>
      <c r="K111" s="762"/>
      <c r="L111" s="453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4" t="str">
        <f>'Org structure'!E107</f>
        <v>10.6 - Administration</v>
      </c>
      <c r="B112" s="452"/>
      <c r="C112" s="758"/>
      <c r="D112" s="759"/>
      <c r="E112" s="760"/>
      <c r="F112" s="761"/>
      <c r="G112" s="760"/>
      <c r="H112" s="761"/>
      <c r="I112" s="45">
        <f t="shared" si="8"/>
        <v>0</v>
      </c>
      <c r="J112" s="334" t="str">
        <f t="shared" si="9"/>
        <v/>
      </c>
      <c r="K112" s="762"/>
      <c r="L112" s="453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4" t="str">
        <f>'Org structure'!E108</f>
        <v>10.7 - Director Housing</v>
      </c>
      <c r="B113" s="452"/>
      <c r="C113" s="758"/>
      <c r="D113" s="759"/>
      <c r="E113" s="760"/>
      <c r="F113" s="761"/>
      <c r="G113" s="760"/>
      <c r="H113" s="761"/>
      <c r="I113" s="45">
        <f t="shared" si="8"/>
        <v>0</v>
      </c>
      <c r="J113" s="334" t="str">
        <f t="shared" si="9"/>
        <v/>
      </c>
      <c r="K113" s="762"/>
      <c r="L113" s="453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4">
        <f>'Org structure'!E109</f>
        <v>0</v>
      </c>
      <c r="B114" s="452"/>
      <c r="C114" s="758"/>
      <c r="D114" s="759"/>
      <c r="E114" s="760"/>
      <c r="F114" s="761"/>
      <c r="G114" s="760"/>
      <c r="H114" s="761"/>
      <c r="I114" s="45">
        <f t="shared" si="8"/>
        <v>0</v>
      </c>
      <c r="J114" s="334" t="str">
        <f t="shared" si="9"/>
        <v/>
      </c>
      <c r="K114" s="762"/>
      <c r="L114" s="453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4">
        <f>'Org structure'!E110</f>
        <v>0</v>
      </c>
      <c r="B115" s="452"/>
      <c r="C115" s="758"/>
      <c r="D115" s="759"/>
      <c r="E115" s="760"/>
      <c r="F115" s="761"/>
      <c r="G115" s="760"/>
      <c r="H115" s="761"/>
      <c r="I115" s="45">
        <f t="shared" si="8"/>
        <v>0</v>
      </c>
      <c r="J115" s="334" t="str">
        <f t="shared" si="9"/>
        <v/>
      </c>
      <c r="K115" s="762"/>
      <c r="L115" s="453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414">
        <f>'Org structure'!E111</f>
        <v>0</v>
      </c>
      <c r="B116" s="452"/>
      <c r="C116" s="758"/>
      <c r="D116" s="759"/>
      <c r="E116" s="760"/>
      <c r="F116" s="761"/>
      <c r="G116" s="760"/>
      <c r="H116" s="761"/>
      <c r="I116" s="45">
        <f t="shared" si="8"/>
        <v>0</v>
      </c>
      <c r="J116" s="334" t="str">
        <f t="shared" si="9"/>
        <v/>
      </c>
      <c r="K116" s="762"/>
      <c r="L116" s="453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473" t="str">
        <f>'Org structure'!A12</f>
        <v>Vote 11 - Water &amp; Sanitation</v>
      </c>
      <c r="B117" s="452"/>
      <c r="C117" s="510">
        <f>SUM(C118:C127)</f>
        <v>0</v>
      </c>
      <c r="D117" s="451">
        <f t="shared" ref="D117:K117" si="14">SUM(D118:D127)</f>
        <v>0</v>
      </c>
      <c r="E117" s="448">
        <f t="shared" si="14"/>
        <v>0</v>
      </c>
      <c r="F117" s="450">
        <f t="shared" si="14"/>
        <v>0</v>
      </c>
      <c r="G117" s="448">
        <f t="shared" si="14"/>
        <v>0</v>
      </c>
      <c r="H117" s="450">
        <f t="shared" si="14"/>
        <v>0</v>
      </c>
      <c r="I117" s="45">
        <f t="shared" si="8"/>
        <v>0</v>
      </c>
      <c r="J117" s="334" t="str">
        <f t="shared" si="9"/>
        <v/>
      </c>
      <c r="K117" s="449">
        <f t="shared" si="14"/>
        <v>0</v>
      </c>
      <c r="L117" s="453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414" t="str">
        <f>'Org structure'!E113</f>
        <v>11.1 - Sanitation &amp; Sewerage</v>
      </c>
      <c r="B118" s="452"/>
      <c r="C118" s="758"/>
      <c r="D118" s="759"/>
      <c r="E118" s="760"/>
      <c r="F118" s="761"/>
      <c r="G118" s="760"/>
      <c r="H118" s="761"/>
      <c r="I118" s="45">
        <f t="shared" si="8"/>
        <v>0</v>
      </c>
      <c r="J118" s="334" t="str">
        <f t="shared" si="9"/>
        <v/>
      </c>
      <c r="K118" s="762"/>
      <c r="L118" s="453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414" t="str">
        <f>'Org structure'!E114</f>
        <v>11.2 - Income received by the Municipality on behalf of the Entity</v>
      </c>
      <c r="B119" s="452"/>
      <c r="C119" s="758"/>
      <c r="D119" s="759"/>
      <c r="E119" s="760"/>
      <c r="F119" s="761"/>
      <c r="G119" s="760"/>
      <c r="H119" s="761"/>
      <c r="I119" s="45">
        <f t="shared" si="8"/>
        <v>0</v>
      </c>
      <c r="J119" s="334" t="str">
        <f t="shared" si="9"/>
        <v/>
      </c>
      <c r="K119" s="762"/>
      <c r="L119" s="453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414">
        <f>'Org structure'!E115</f>
        <v>0</v>
      </c>
      <c r="B120" s="452"/>
      <c r="C120" s="758"/>
      <c r="D120" s="759"/>
      <c r="E120" s="760"/>
      <c r="F120" s="761"/>
      <c r="G120" s="760"/>
      <c r="H120" s="761"/>
      <c r="I120" s="45">
        <f t="shared" si="8"/>
        <v>0</v>
      </c>
      <c r="J120" s="334" t="str">
        <f t="shared" si="9"/>
        <v/>
      </c>
      <c r="K120" s="762"/>
      <c r="L120" s="453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414">
        <f>'Org structure'!E116</f>
        <v>0</v>
      </c>
      <c r="B121" s="452"/>
      <c r="C121" s="758"/>
      <c r="D121" s="759"/>
      <c r="E121" s="760"/>
      <c r="F121" s="761"/>
      <c r="G121" s="760"/>
      <c r="H121" s="761"/>
      <c r="I121" s="45">
        <f t="shared" si="8"/>
        <v>0</v>
      </c>
      <c r="J121" s="334" t="str">
        <f t="shared" si="9"/>
        <v/>
      </c>
      <c r="K121" s="762"/>
      <c r="L121" s="453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414">
        <f>'Org structure'!E117</f>
        <v>0</v>
      </c>
      <c r="B122" s="452"/>
      <c r="C122" s="758"/>
      <c r="D122" s="759"/>
      <c r="E122" s="760"/>
      <c r="F122" s="761"/>
      <c r="G122" s="760"/>
      <c r="H122" s="761"/>
      <c r="I122" s="45">
        <f t="shared" si="8"/>
        <v>0</v>
      </c>
      <c r="J122" s="334" t="str">
        <f t="shared" si="9"/>
        <v/>
      </c>
      <c r="K122" s="762"/>
      <c r="L122" s="453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414">
        <f>'Org structure'!E118</f>
        <v>0</v>
      </c>
      <c r="B123" s="452"/>
      <c r="C123" s="758"/>
      <c r="D123" s="759"/>
      <c r="E123" s="760"/>
      <c r="F123" s="761"/>
      <c r="G123" s="760"/>
      <c r="H123" s="761"/>
      <c r="I123" s="45">
        <f t="shared" si="8"/>
        <v>0</v>
      </c>
      <c r="J123" s="334" t="str">
        <f t="shared" si="9"/>
        <v/>
      </c>
      <c r="K123" s="762"/>
      <c r="L123" s="453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414">
        <f>'Org structure'!E119</f>
        <v>0</v>
      </c>
      <c r="B124" s="452"/>
      <c r="C124" s="758"/>
      <c r="D124" s="759"/>
      <c r="E124" s="760"/>
      <c r="F124" s="761"/>
      <c r="G124" s="760"/>
      <c r="H124" s="761"/>
      <c r="I124" s="45">
        <f t="shared" si="8"/>
        <v>0</v>
      </c>
      <c r="J124" s="334" t="str">
        <f t="shared" si="9"/>
        <v/>
      </c>
      <c r="K124" s="762"/>
      <c r="L124" s="453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414">
        <f>'Org structure'!E120</f>
        <v>0</v>
      </c>
      <c r="B125" s="452"/>
      <c r="C125" s="758"/>
      <c r="D125" s="759"/>
      <c r="E125" s="760"/>
      <c r="F125" s="761"/>
      <c r="G125" s="760"/>
      <c r="H125" s="761"/>
      <c r="I125" s="45">
        <f t="shared" si="8"/>
        <v>0</v>
      </c>
      <c r="J125" s="334" t="str">
        <f t="shared" si="9"/>
        <v/>
      </c>
      <c r="K125" s="762"/>
      <c r="L125" s="453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414">
        <f>'Org structure'!E121</f>
        <v>0</v>
      </c>
      <c r="B126" s="452"/>
      <c r="C126" s="758"/>
      <c r="D126" s="759"/>
      <c r="E126" s="760"/>
      <c r="F126" s="761"/>
      <c r="G126" s="760"/>
      <c r="H126" s="761"/>
      <c r="I126" s="45">
        <f t="shared" si="8"/>
        <v>0</v>
      </c>
      <c r="J126" s="334" t="str">
        <f t="shared" si="9"/>
        <v/>
      </c>
      <c r="K126" s="762"/>
      <c r="L126" s="453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414">
        <f>'Org structure'!E122</f>
        <v>0</v>
      </c>
      <c r="B127" s="452"/>
      <c r="C127" s="758"/>
      <c r="D127" s="759"/>
      <c r="E127" s="760"/>
      <c r="F127" s="761"/>
      <c r="G127" s="760"/>
      <c r="H127" s="761"/>
      <c r="I127" s="45">
        <f t="shared" si="8"/>
        <v>0</v>
      </c>
      <c r="J127" s="334" t="str">
        <f t="shared" si="9"/>
        <v/>
      </c>
      <c r="K127" s="762"/>
      <c r="L127" s="453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473" t="str">
        <f>'Org structure'!A13</f>
        <v>Vote 12 - Water</v>
      </c>
      <c r="B128" s="452"/>
      <c r="C128" s="510">
        <f>SUM(C129:C138)</f>
        <v>0</v>
      </c>
      <c r="D128" s="451">
        <f t="shared" ref="D128:K128" si="15">SUM(D129:D138)</f>
        <v>44620000</v>
      </c>
      <c r="E128" s="448">
        <f t="shared" si="15"/>
        <v>0</v>
      </c>
      <c r="F128" s="450">
        <f t="shared" si="15"/>
        <v>2114950.6</v>
      </c>
      <c r="G128" s="448">
        <f t="shared" si="15"/>
        <v>37790171.600000001</v>
      </c>
      <c r="H128" s="450">
        <f t="shared" si="15"/>
        <v>44620000</v>
      </c>
      <c r="I128" s="45">
        <f t="shared" si="8"/>
        <v>-6829828.3999999985</v>
      </c>
      <c r="J128" s="334">
        <f t="shared" si="9"/>
        <v>-0.15306652622142533</v>
      </c>
      <c r="K128" s="449">
        <f t="shared" si="15"/>
        <v>44620000</v>
      </c>
      <c r="L128" s="453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414" t="str">
        <f>'Org structure'!E124</f>
        <v>12.1 - Water</v>
      </c>
      <c r="B129" s="452"/>
      <c r="C129" s="758"/>
      <c r="D129" s="759">
        <f>44620000</f>
        <v>44620000</v>
      </c>
      <c r="E129" s="760"/>
      <c r="F129" s="761">
        <f>2114950.6</f>
        <v>2114950.6</v>
      </c>
      <c r="G129" s="760">
        <f>3373789.37+8434480.49+9600612.23+7600393.08+6665945.83+2114950.6</f>
        <v>37790171.600000001</v>
      </c>
      <c r="H129" s="759">
        <f>44620000</f>
        <v>44620000</v>
      </c>
      <c r="I129" s="45">
        <f t="shared" si="8"/>
        <v>-6829828.3999999985</v>
      </c>
      <c r="J129" s="334">
        <f t="shared" si="9"/>
        <v>-0.15306652622142533</v>
      </c>
      <c r="K129" s="759">
        <f>44620000</f>
        <v>44620000</v>
      </c>
      <c r="L129" s="453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414">
        <f>'Org structure'!E125</f>
        <v>0</v>
      </c>
      <c r="B130" s="452"/>
      <c r="C130" s="758"/>
      <c r="D130" s="759"/>
      <c r="E130" s="760"/>
      <c r="F130" s="761"/>
      <c r="G130" s="760"/>
      <c r="H130" s="761"/>
      <c r="I130" s="45">
        <f t="shared" si="8"/>
        <v>0</v>
      </c>
      <c r="J130" s="334" t="str">
        <f t="shared" si="9"/>
        <v/>
      </c>
      <c r="K130" s="762"/>
      <c r="L130" s="453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414">
        <f>'Org structure'!E126</f>
        <v>0</v>
      </c>
      <c r="B131" s="452"/>
      <c r="C131" s="758"/>
      <c r="D131" s="759"/>
      <c r="E131" s="760"/>
      <c r="F131" s="761"/>
      <c r="G131" s="760"/>
      <c r="H131" s="761"/>
      <c r="I131" s="45">
        <f t="shared" si="8"/>
        <v>0</v>
      </c>
      <c r="J131" s="334" t="str">
        <f t="shared" si="9"/>
        <v/>
      </c>
      <c r="K131" s="762"/>
      <c r="L131" s="453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414">
        <f>'Org structure'!E127</f>
        <v>0</v>
      </c>
      <c r="B132" s="452"/>
      <c r="C132" s="758"/>
      <c r="D132" s="759"/>
      <c r="E132" s="760"/>
      <c r="F132" s="761"/>
      <c r="G132" s="760"/>
      <c r="H132" s="761"/>
      <c r="I132" s="45">
        <f t="shared" si="8"/>
        <v>0</v>
      </c>
      <c r="J132" s="334" t="str">
        <f t="shared" si="9"/>
        <v/>
      </c>
      <c r="K132" s="762"/>
      <c r="L132" s="453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414">
        <f>'Org structure'!E128</f>
        <v>0</v>
      </c>
      <c r="B133" s="452"/>
      <c r="C133" s="758"/>
      <c r="D133" s="759"/>
      <c r="E133" s="760"/>
      <c r="F133" s="761"/>
      <c r="G133" s="760"/>
      <c r="H133" s="761"/>
      <c r="I133" s="45">
        <f t="shared" si="8"/>
        <v>0</v>
      </c>
      <c r="J133" s="334" t="str">
        <f t="shared" si="9"/>
        <v/>
      </c>
      <c r="K133" s="762"/>
      <c r="L133" s="453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414">
        <f>'Org structure'!E129</f>
        <v>0</v>
      </c>
      <c r="B134" s="452"/>
      <c r="C134" s="758"/>
      <c r="D134" s="759"/>
      <c r="E134" s="760"/>
      <c r="F134" s="761"/>
      <c r="G134" s="760"/>
      <c r="H134" s="761"/>
      <c r="I134" s="45">
        <f t="shared" si="8"/>
        <v>0</v>
      </c>
      <c r="J134" s="334" t="str">
        <f t="shared" si="9"/>
        <v/>
      </c>
      <c r="K134" s="762"/>
      <c r="L134" s="453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414">
        <f>'Org structure'!E130</f>
        <v>0</v>
      </c>
      <c r="B135" s="452"/>
      <c r="C135" s="758"/>
      <c r="D135" s="759"/>
      <c r="E135" s="760"/>
      <c r="F135" s="761"/>
      <c r="G135" s="760"/>
      <c r="H135" s="761"/>
      <c r="I135" s="45">
        <f t="shared" ref="I135:I199" si="16">G135-H135</f>
        <v>0</v>
      </c>
      <c r="J135" s="334" t="str">
        <f t="shared" ref="J135:J199" si="17">IF(I135=0,"",I135/H135)</f>
        <v/>
      </c>
      <c r="K135" s="762"/>
      <c r="L135" s="453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414">
        <f>'Org structure'!E131</f>
        <v>0</v>
      </c>
      <c r="B136" s="452"/>
      <c r="C136" s="758"/>
      <c r="D136" s="759"/>
      <c r="E136" s="760"/>
      <c r="F136" s="761"/>
      <c r="G136" s="760"/>
      <c r="H136" s="761"/>
      <c r="I136" s="45">
        <f t="shared" si="16"/>
        <v>0</v>
      </c>
      <c r="J136" s="334" t="str">
        <f t="shared" si="17"/>
        <v/>
      </c>
      <c r="K136" s="762"/>
      <c r="L136" s="453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414">
        <f>'Org structure'!E132</f>
        <v>0</v>
      </c>
      <c r="B137" s="452"/>
      <c r="C137" s="758"/>
      <c r="D137" s="759"/>
      <c r="E137" s="760"/>
      <c r="F137" s="761"/>
      <c r="G137" s="760"/>
      <c r="H137" s="761"/>
      <c r="I137" s="45">
        <f t="shared" si="16"/>
        <v>0</v>
      </c>
      <c r="J137" s="334" t="str">
        <f t="shared" si="17"/>
        <v/>
      </c>
      <c r="K137" s="762"/>
      <c r="L137" s="453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414">
        <f>'Org structure'!E133</f>
        <v>0</v>
      </c>
      <c r="B138" s="452"/>
      <c r="C138" s="758"/>
      <c r="D138" s="759"/>
      <c r="E138" s="760"/>
      <c r="F138" s="761"/>
      <c r="G138" s="760"/>
      <c r="H138" s="761"/>
      <c r="I138" s="45">
        <f t="shared" si="16"/>
        <v>0</v>
      </c>
      <c r="J138" s="334" t="str">
        <f t="shared" si="17"/>
        <v/>
      </c>
      <c r="K138" s="762"/>
      <c r="L138" s="453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473" t="str">
        <f>'Org structure'!A14</f>
        <v xml:space="preserve">Vote 13 - </v>
      </c>
      <c r="B139" s="452"/>
      <c r="C139" s="510">
        <f>SUM(C140:C149)</f>
        <v>0</v>
      </c>
      <c r="D139" s="451">
        <f t="shared" ref="D139:K139" si="18">SUM(D140:D149)</f>
        <v>0</v>
      </c>
      <c r="E139" s="448">
        <f t="shared" si="18"/>
        <v>0</v>
      </c>
      <c r="F139" s="450">
        <f t="shared" si="18"/>
        <v>0</v>
      </c>
      <c r="G139" s="448">
        <f t="shared" si="18"/>
        <v>0</v>
      </c>
      <c r="H139" s="450">
        <f t="shared" si="18"/>
        <v>0</v>
      </c>
      <c r="I139" s="45">
        <f t="shared" si="16"/>
        <v>0</v>
      </c>
      <c r="J139" s="334" t="str">
        <f t="shared" si="17"/>
        <v/>
      </c>
      <c r="K139" s="449">
        <f t="shared" si="18"/>
        <v>0</v>
      </c>
      <c r="L139" s="453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414" t="str">
        <f>'Org structure'!E135</f>
        <v>13.1 - [Name of sub-vote]</v>
      </c>
      <c r="B140" s="452"/>
      <c r="C140" s="758"/>
      <c r="D140" s="759"/>
      <c r="E140" s="760"/>
      <c r="F140" s="761"/>
      <c r="G140" s="760"/>
      <c r="H140" s="761"/>
      <c r="I140" s="45">
        <f t="shared" si="16"/>
        <v>0</v>
      </c>
      <c r="J140" s="334" t="str">
        <f t="shared" si="17"/>
        <v/>
      </c>
      <c r="K140" s="762"/>
      <c r="L140" s="453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414">
        <f>'Org structure'!E136</f>
        <v>0</v>
      </c>
      <c r="B141" s="452"/>
      <c r="C141" s="758"/>
      <c r="D141" s="759"/>
      <c r="E141" s="760"/>
      <c r="F141" s="761"/>
      <c r="G141" s="760"/>
      <c r="H141" s="761"/>
      <c r="I141" s="45">
        <f t="shared" si="16"/>
        <v>0</v>
      </c>
      <c r="J141" s="334" t="str">
        <f t="shared" si="17"/>
        <v/>
      </c>
      <c r="K141" s="762"/>
      <c r="L141" s="453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414">
        <f>'Org structure'!E137</f>
        <v>0</v>
      </c>
      <c r="B142" s="452"/>
      <c r="C142" s="758"/>
      <c r="D142" s="759"/>
      <c r="E142" s="760"/>
      <c r="F142" s="761"/>
      <c r="G142" s="760"/>
      <c r="H142" s="761"/>
      <c r="I142" s="45">
        <f t="shared" si="16"/>
        <v>0</v>
      </c>
      <c r="J142" s="334" t="str">
        <f t="shared" si="17"/>
        <v/>
      </c>
      <c r="K142" s="762"/>
      <c r="L142" s="453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414">
        <f>'Org structure'!E138</f>
        <v>0</v>
      </c>
      <c r="B143" s="452"/>
      <c r="C143" s="758"/>
      <c r="D143" s="759"/>
      <c r="E143" s="760"/>
      <c r="F143" s="761"/>
      <c r="G143" s="760"/>
      <c r="H143" s="761"/>
      <c r="I143" s="45">
        <f t="shared" si="16"/>
        <v>0</v>
      </c>
      <c r="J143" s="334" t="str">
        <f t="shared" si="17"/>
        <v/>
      </c>
      <c r="K143" s="758"/>
      <c r="L143" s="453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414">
        <f>'Org structure'!E139</f>
        <v>0</v>
      </c>
      <c r="B144" s="452"/>
      <c r="C144" s="758"/>
      <c r="D144" s="759"/>
      <c r="E144" s="760"/>
      <c r="F144" s="761"/>
      <c r="G144" s="760"/>
      <c r="H144" s="761"/>
      <c r="I144" s="45">
        <f t="shared" si="16"/>
        <v>0</v>
      </c>
      <c r="J144" s="334" t="str">
        <f t="shared" si="17"/>
        <v/>
      </c>
      <c r="K144" s="762"/>
      <c r="L144" s="453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414">
        <f>'Org structure'!E140</f>
        <v>0</v>
      </c>
      <c r="B145" s="452"/>
      <c r="C145" s="758"/>
      <c r="D145" s="759"/>
      <c r="E145" s="760"/>
      <c r="F145" s="761"/>
      <c r="G145" s="760"/>
      <c r="H145" s="761"/>
      <c r="I145" s="45">
        <f t="shared" si="16"/>
        <v>0</v>
      </c>
      <c r="J145" s="334" t="str">
        <f t="shared" si="17"/>
        <v/>
      </c>
      <c r="K145" s="762"/>
      <c r="L145" s="453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414">
        <f>'Org structure'!E141</f>
        <v>0</v>
      </c>
      <c r="B146" s="452"/>
      <c r="C146" s="758"/>
      <c r="D146" s="759"/>
      <c r="E146" s="760"/>
      <c r="F146" s="761"/>
      <c r="G146" s="760"/>
      <c r="H146" s="761"/>
      <c r="I146" s="45">
        <f t="shared" si="16"/>
        <v>0</v>
      </c>
      <c r="J146" s="334" t="str">
        <f t="shared" si="17"/>
        <v/>
      </c>
      <c r="K146" s="762"/>
      <c r="L146" s="453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414">
        <f>'Org structure'!E142</f>
        <v>0</v>
      </c>
      <c r="B147" s="452"/>
      <c r="C147" s="758"/>
      <c r="D147" s="759"/>
      <c r="E147" s="760"/>
      <c r="F147" s="761"/>
      <c r="G147" s="760"/>
      <c r="H147" s="761"/>
      <c r="I147" s="45">
        <f t="shared" si="16"/>
        <v>0</v>
      </c>
      <c r="J147" s="334" t="str">
        <f t="shared" si="17"/>
        <v/>
      </c>
      <c r="K147" s="762"/>
      <c r="L147" s="453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414">
        <f>'Org structure'!E143</f>
        <v>0</v>
      </c>
      <c r="B148" s="452"/>
      <c r="C148" s="758"/>
      <c r="D148" s="759"/>
      <c r="E148" s="760"/>
      <c r="F148" s="761"/>
      <c r="G148" s="760"/>
      <c r="H148" s="761"/>
      <c r="I148" s="45">
        <f t="shared" si="16"/>
        <v>0</v>
      </c>
      <c r="J148" s="334" t="str">
        <f t="shared" si="17"/>
        <v/>
      </c>
      <c r="K148" s="762"/>
      <c r="L148" s="453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414">
        <f>'Org structure'!E144</f>
        <v>0</v>
      </c>
      <c r="B149" s="452"/>
      <c r="C149" s="758"/>
      <c r="D149" s="759"/>
      <c r="E149" s="760"/>
      <c r="F149" s="761"/>
      <c r="G149" s="760"/>
      <c r="H149" s="761"/>
      <c r="I149" s="45">
        <f t="shared" si="16"/>
        <v>0</v>
      </c>
      <c r="J149" s="334" t="str">
        <f t="shared" si="17"/>
        <v/>
      </c>
      <c r="K149" s="762"/>
      <c r="L149" s="453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473" t="str">
        <f>'Org structure'!A15</f>
        <v xml:space="preserve">Vote 14 - </v>
      </c>
      <c r="B150" s="452"/>
      <c r="C150" s="510">
        <f>SUM(C151:C160)</f>
        <v>0</v>
      </c>
      <c r="D150" s="451">
        <f t="shared" ref="D150:K150" si="19">SUM(D151:D160)</f>
        <v>0</v>
      </c>
      <c r="E150" s="448">
        <f t="shared" si="19"/>
        <v>0</v>
      </c>
      <c r="F150" s="450">
        <f t="shared" si="19"/>
        <v>0</v>
      </c>
      <c r="G150" s="448">
        <f t="shared" si="19"/>
        <v>0</v>
      </c>
      <c r="H150" s="450">
        <f t="shared" si="19"/>
        <v>0</v>
      </c>
      <c r="I150" s="45">
        <f t="shared" si="16"/>
        <v>0</v>
      </c>
      <c r="J150" s="334" t="str">
        <f t="shared" si="17"/>
        <v/>
      </c>
      <c r="K150" s="449">
        <f t="shared" si="19"/>
        <v>0</v>
      </c>
      <c r="L150" s="453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414" t="str">
        <f>'Org structure'!E146</f>
        <v>14.1 - [Name of sub-vote]</v>
      </c>
      <c r="B151" s="452"/>
      <c r="C151" s="758"/>
      <c r="D151" s="759"/>
      <c r="E151" s="760"/>
      <c r="F151" s="761"/>
      <c r="G151" s="760"/>
      <c r="H151" s="761"/>
      <c r="I151" s="45">
        <f t="shared" si="16"/>
        <v>0</v>
      </c>
      <c r="J151" s="334" t="str">
        <f t="shared" si="17"/>
        <v/>
      </c>
      <c r="K151" s="762"/>
      <c r="L151" s="453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414">
        <f>'Org structure'!E147</f>
        <v>0</v>
      </c>
      <c r="B152" s="452"/>
      <c r="C152" s="758"/>
      <c r="D152" s="759"/>
      <c r="E152" s="760"/>
      <c r="F152" s="761"/>
      <c r="G152" s="760"/>
      <c r="H152" s="761"/>
      <c r="I152" s="45">
        <f t="shared" si="16"/>
        <v>0</v>
      </c>
      <c r="J152" s="334" t="str">
        <f t="shared" si="17"/>
        <v/>
      </c>
      <c r="K152" s="762"/>
      <c r="L152" s="453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414">
        <f>'Org structure'!E148</f>
        <v>0</v>
      </c>
      <c r="B153" s="452"/>
      <c r="C153" s="758"/>
      <c r="D153" s="759"/>
      <c r="E153" s="760"/>
      <c r="F153" s="761"/>
      <c r="G153" s="760"/>
      <c r="H153" s="761"/>
      <c r="I153" s="45">
        <f t="shared" si="16"/>
        <v>0</v>
      </c>
      <c r="J153" s="334" t="str">
        <f t="shared" si="17"/>
        <v/>
      </c>
      <c r="K153" s="762"/>
      <c r="L153" s="453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414">
        <f>'Org structure'!E149</f>
        <v>0</v>
      </c>
      <c r="B154" s="452"/>
      <c r="C154" s="758"/>
      <c r="D154" s="759"/>
      <c r="E154" s="760"/>
      <c r="F154" s="761"/>
      <c r="G154" s="760"/>
      <c r="H154" s="761"/>
      <c r="I154" s="45">
        <f t="shared" si="16"/>
        <v>0</v>
      </c>
      <c r="J154" s="334" t="str">
        <f t="shared" si="17"/>
        <v/>
      </c>
      <c r="K154" s="762"/>
      <c r="L154" s="453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414">
        <f>'Org structure'!E150</f>
        <v>0</v>
      </c>
      <c r="B155" s="452"/>
      <c r="C155" s="758"/>
      <c r="D155" s="759"/>
      <c r="E155" s="760"/>
      <c r="F155" s="761"/>
      <c r="G155" s="760"/>
      <c r="H155" s="761"/>
      <c r="I155" s="45">
        <f t="shared" si="16"/>
        <v>0</v>
      </c>
      <c r="J155" s="334" t="str">
        <f t="shared" si="17"/>
        <v/>
      </c>
      <c r="K155" s="762"/>
      <c r="L155" s="453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414">
        <f>'Org structure'!E151</f>
        <v>0</v>
      </c>
      <c r="B156" s="452"/>
      <c r="C156" s="758"/>
      <c r="D156" s="759"/>
      <c r="E156" s="760"/>
      <c r="F156" s="761"/>
      <c r="G156" s="760"/>
      <c r="H156" s="761"/>
      <c r="I156" s="45">
        <f t="shared" si="16"/>
        <v>0</v>
      </c>
      <c r="J156" s="334" t="str">
        <f t="shared" si="17"/>
        <v/>
      </c>
      <c r="K156" s="762"/>
      <c r="L156" s="453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414">
        <f>'Org structure'!E152</f>
        <v>0</v>
      </c>
      <c r="B157" s="452"/>
      <c r="C157" s="758"/>
      <c r="D157" s="759"/>
      <c r="E157" s="760"/>
      <c r="F157" s="761"/>
      <c r="G157" s="760"/>
      <c r="H157" s="761"/>
      <c r="I157" s="45">
        <f t="shared" si="16"/>
        <v>0</v>
      </c>
      <c r="J157" s="334" t="str">
        <f t="shared" si="17"/>
        <v/>
      </c>
      <c r="K157" s="762"/>
      <c r="L157" s="453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414">
        <f>'Org structure'!E153</f>
        <v>0</v>
      </c>
      <c r="B158" s="452"/>
      <c r="C158" s="758"/>
      <c r="D158" s="759"/>
      <c r="E158" s="760"/>
      <c r="F158" s="761"/>
      <c r="G158" s="760"/>
      <c r="H158" s="761"/>
      <c r="I158" s="45">
        <f t="shared" si="16"/>
        <v>0</v>
      </c>
      <c r="J158" s="334" t="str">
        <f t="shared" si="17"/>
        <v/>
      </c>
      <c r="K158" s="762"/>
      <c r="L158" s="453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414">
        <f>'Org structure'!E154</f>
        <v>0</v>
      </c>
      <c r="B159" s="452"/>
      <c r="C159" s="758"/>
      <c r="D159" s="759"/>
      <c r="E159" s="760"/>
      <c r="F159" s="761"/>
      <c r="G159" s="760"/>
      <c r="H159" s="761"/>
      <c r="I159" s="45">
        <f t="shared" si="16"/>
        <v>0</v>
      </c>
      <c r="J159" s="334" t="str">
        <f t="shared" si="17"/>
        <v/>
      </c>
      <c r="K159" s="762"/>
      <c r="L159" s="453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414">
        <f>'Org structure'!E155</f>
        <v>0</v>
      </c>
      <c r="B160" s="452"/>
      <c r="C160" s="758"/>
      <c r="D160" s="759"/>
      <c r="E160" s="760"/>
      <c r="F160" s="761"/>
      <c r="G160" s="760"/>
      <c r="H160" s="761"/>
      <c r="I160" s="45">
        <f t="shared" si="16"/>
        <v>0</v>
      </c>
      <c r="J160" s="334" t="str">
        <f t="shared" si="17"/>
        <v/>
      </c>
      <c r="K160" s="762"/>
      <c r="L160" s="453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473" t="str">
        <f>'Org structure'!A16</f>
        <v xml:space="preserve">Vote 15 - </v>
      </c>
      <c r="B161" s="452"/>
      <c r="C161" s="510">
        <f>SUM(C162:C171)</f>
        <v>0</v>
      </c>
      <c r="D161" s="451">
        <f t="shared" ref="D161:K161" si="20">SUM(D162:D171)</f>
        <v>0</v>
      </c>
      <c r="E161" s="448">
        <f t="shared" si="20"/>
        <v>0</v>
      </c>
      <c r="F161" s="450">
        <f t="shared" si="20"/>
        <v>0</v>
      </c>
      <c r="G161" s="448">
        <f t="shared" si="20"/>
        <v>0</v>
      </c>
      <c r="H161" s="450">
        <f t="shared" si="20"/>
        <v>0</v>
      </c>
      <c r="I161" s="45">
        <f t="shared" si="16"/>
        <v>0</v>
      </c>
      <c r="J161" s="334" t="str">
        <f t="shared" si="17"/>
        <v/>
      </c>
      <c r="K161" s="449">
        <f t="shared" si="20"/>
        <v>0</v>
      </c>
      <c r="L161" s="453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414" t="str">
        <f>'Org structure'!E157</f>
        <v>15.1 - [Name of sub-vote]</v>
      </c>
      <c r="B162" s="452"/>
      <c r="C162" s="758"/>
      <c r="D162" s="759"/>
      <c r="E162" s="760"/>
      <c r="F162" s="761"/>
      <c r="G162" s="760"/>
      <c r="H162" s="761"/>
      <c r="I162" s="45">
        <f t="shared" si="16"/>
        <v>0</v>
      </c>
      <c r="J162" s="334" t="str">
        <f t="shared" si="17"/>
        <v/>
      </c>
      <c r="K162" s="762"/>
      <c r="L162" s="453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414">
        <f>'Org structure'!E158</f>
        <v>0</v>
      </c>
      <c r="B163" s="452"/>
      <c r="C163" s="758"/>
      <c r="D163" s="759"/>
      <c r="E163" s="760"/>
      <c r="F163" s="761"/>
      <c r="G163" s="760"/>
      <c r="H163" s="761"/>
      <c r="I163" s="45">
        <f t="shared" si="16"/>
        <v>0</v>
      </c>
      <c r="J163" s="334" t="str">
        <f t="shared" si="17"/>
        <v/>
      </c>
      <c r="K163" s="762"/>
      <c r="L163" s="453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414">
        <f>'Org structure'!E159</f>
        <v>0</v>
      </c>
      <c r="B164" s="452"/>
      <c r="C164" s="758"/>
      <c r="D164" s="759"/>
      <c r="E164" s="760"/>
      <c r="F164" s="761"/>
      <c r="G164" s="760"/>
      <c r="H164" s="761"/>
      <c r="I164" s="45">
        <f t="shared" si="16"/>
        <v>0</v>
      </c>
      <c r="J164" s="334" t="str">
        <f t="shared" si="17"/>
        <v/>
      </c>
      <c r="K164" s="762"/>
      <c r="L164" s="453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414">
        <f>'Org structure'!E160</f>
        <v>0</v>
      </c>
      <c r="B165" s="452"/>
      <c r="C165" s="758"/>
      <c r="D165" s="759"/>
      <c r="E165" s="760"/>
      <c r="F165" s="761"/>
      <c r="G165" s="760"/>
      <c r="H165" s="761"/>
      <c r="I165" s="45">
        <f t="shared" si="16"/>
        <v>0</v>
      </c>
      <c r="J165" s="334" t="str">
        <f t="shared" si="17"/>
        <v/>
      </c>
      <c r="K165" s="762"/>
      <c r="L165" s="453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414">
        <f>'Org structure'!E161</f>
        <v>0</v>
      </c>
      <c r="B166" s="452"/>
      <c r="C166" s="758"/>
      <c r="D166" s="759"/>
      <c r="E166" s="760"/>
      <c r="F166" s="761"/>
      <c r="G166" s="760"/>
      <c r="H166" s="761"/>
      <c r="I166" s="45">
        <f t="shared" si="16"/>
        <v>0</v>
      </c>
      <c r="J166" s="334" t="str">
        <f t="shared" si="17"/>
        <v/>
      </c>
      <c r="K166" s="762"/>
      <c r="L166" s="453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414">
        <f>'Org structure'!E162</f>
        <v>0</v>
      </c>
      <c r="B167" s="452"/>
      <c r="C167" s="758"/>
      <c r="D167" s="759"/>
      <c r="E167" s="760"/>
      <c r="F167" s="761"/>
      <c r="G167" s="760"/>
      <c r="H167" s="761"/>
      <c r="I167" s="45">
        <f t="shared" si="16"/>
        <v>0</v>
      </c>
      <c r="J167" s="334" t="str">
        <f t="shared" si="17"/>
        <v/>
      </c>
      <c r="K167" s="762"/>
      <c r="L167" s="453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414">
        <f>'Org structure'!E163</f>
        <v>0</v>
      </c>
      <c r="B168" s="452"/>
      <c r="C168" s="758"/>
      <c r="D168" s="759"/>
      <c r="E168" s="760"/>
      <c r="F168" s="761"/>
      <c r="G168" s="760"/>
      <c r="H168" s="761"/>
      <c r="I168" s="45">
        <f t="shared" si="16"/>
        <v>0</v>
      </c>
      <c r="J168" s="334" t="str">
        <f t="shared" si="17"/>
        <v/>
      </c>
      <c r="K168" s="762"/>
      <c r="L168" s="453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414">
        <f>'Org structure'!E164</f>
        <v>0</v>
      </c>
      <c r="B169" s="452"/>
      <c r="C169" s="758"/>
      <c r="D169" s="759"/>
      <c r="E169" s="760"/>
      <c r="F169" s="761"/>
      <c r="G169" s="760"/>
      <c r="H169" s="761"/>
      <c r="I169" s="45">
        <f t="shared" si="16"/>
        <v>0</v>
      </c>
      <c r="J169" s="334" t="str">
        <f t="shared" si="17"/>
        <v/>
      </c>
      <c r="K169" s="762"/>
      <c r="L169" s="453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414">
        <f>'Org structure'!E165</f>
        <v>0</v>
      </c>
      <c r="B170" s="452"/>
      <c r="C170" s="758"/>
      <c r="D170" s="759"/>
      <c r="E170" s="760"/>
      <c r="F170" s="761"/>
      <c r="G170" s="760"/>
      <c r="H170" s="761"/>
      <c r="I170" s="45">
        <f t="shared" si="16"/>
        <v>0</v>
      </c>
      <c r="J170" s="334" t="str">
        <f t="shared" si="17"/>
        <v/>
      </c>
      <c r="K170" s="762"/>
      <c r="L170" s="453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>
      <c r="A171" s="414">
        <f>'Org structure'!E166</f>
        <v>0</v>
      </c>
      <c r="B171" s="452"/>
      <c r="C171" s="758"/>
      <c r="D171" s="759"/>
      <c r="E171" s="760"/>
      <c r="F171" s="761"/>
      <c r="G171" s="760"/>
      <c r="H171" s="761"/>
      <c r="I171" s="45">
        <f t="shared" si="16"/>
        <v>0</v>
      </c>
      <c r="J171" s="334" t="str">
        <f t="shared" si="17"/>
        <v/>
      </c>
      <c r="K171" s="762"/>
      <c r="L171" s="459">
        <f t="shared" ref="L171:W171" si="21">SUM(L79:L82)</f>
        <v>0</v>
      </c>
      <c r="M171" s="460">
        <f t="shared" si="21"/>
        <v>0</v>
      </c>
      <c r="N171" s="460">
        <f t="shared" si="21"/>
        <v>0</v>
      </c>
      <c r="O171" s="460">
        <f t="shared" si="21"/>
        <v>0</v>
      </c>
      <c r="P171" s="460">
        <f t="shared" si="21"/>
        <v>0</v>
      </c>
      <c r="Q171" s="460">
        <f t="shared" si="21"/>
        <v>0</v>
      </c>
      <c r="R171" s="460">
        <f t="shared" si="21"/>
        <v>0</v>
      </c>
      <c r="S171" s="460">
        <f t="shared" si="21"/>
        <v>0</v>
      </c>
      <c r="T171" s="460">
        <f t="shared" si="21"/>
        <v>0</v>
      </c>
      <c r="U171" s="460">
        <f t="shared" si="21"/>
        <v>0</v>
      </c>
      <c r="V171" s="460">
        <f t="shared" si="21"/>
        <v>0</v>
      </c>
      <c r="W171" s="460">
        <f t="shared" si="21"/>
        <v>0</v>
      </c>
    </row>
    <row r="172" spans="1:23" ht="12.75" customHeight="1">
      <c r="A172" s="454" t="s">
        <v>974</v>
      </c>
      <c r="B172" s="422"/>
      <c r="C172" s="511">
        <f>C7+C18+C29+C40+C51+C62+C73+C84+C95+C106+C117+C128+C139+C150+C161</f>
        <v>0</v>
      </c>
      <c r="D172" s="458">
        <f t="shared" ref="D172:K172" si="22">D7+D18+D29+D40+D51+D62+D73+D84+D95+D106+D117+D128+D139+D150+D161</f>
        <v>252461759</v>
      </c>
      <c r="E172" s="455">
        <f t="shared" si="22"/>
        <v>0</v>
      </c>
      <c r="F172" s="457">
        <f t="shared" si="22"/>
        <v>9752795.3800000008</v>
      </c>
      <c r="G172" s="455">
        <f t="shared" si="22"/>
        <v>114733811.39000002</v>
      </c>
      <c r="H172" s="457">
        <f t="shared" si="22"/>
        <v>252461759</v>
      </c>
      <c r="I172" s="521">
        <f t="shared" si="16"/>
        <v>-137727947.60999998</v>
      </c>
      <c r="J172" s="522">
        <f t="shared" si="17"/>
        <v>-0.54553983999612388</v>
      </c>
      <c r="K172" s="456">
        <f t="shared" si="22"/>
        <v>252461759</v>
      </c>
      <c r="L172" s="453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>
      <c r="A173" s="461"/>
      <c r="B173" s="462"/>
      <c r="C173" s="512"/>
      <c r="D173" s="466"/>
      <c r="E173" s="463"/>
      <c r="F173" s="465"/>
      <c r="G173" s="463"/>
      <c r="H173" s="465"/>
      <c r="I173" s="116">
        <f t="shared" si="16"/>
        <v>0</v>
      </c>
      <c r="J173" s="134" t="str">
        <f t="shared" si="17"/>
        <v/>
      </c>
      <c r="K173" s="464"/>
      <c r="L173" s="453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>
      <c r="A174" s="36" t="s">
        <v>973</v>
      </c>
      <c r="B174" s="468"/>
      <c r="C174" s="513"/>
      <c r="D174" s="472"/>
      <c r="E174" s="469"/>
      <c r="F174" s="471"/>
      <c r="G174" s="469"/>
      <c r="H174" s="471"/>
      <c r="I174" s="727"/>
      <c r="J174" s="728"/>
      <c r="K174" s="470"/>
      <c r="L174" s="453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36" t="s">
        <v>977</v>
      </c>
      <c r="B175" s="422">
        <v>1</v>
      </c>
      <c r="C175" s="722"/>
      <c r="D175" s="723"/>
      <c r="E175" s="724"/>
      <c r="F175" s="725"/>
      <c r="G175" s="724"/>
      <c r="H175" s="725"/>
      <c r="I175" s="45">
        <f t="shared" si="16"/>
        <v>0</v>
      </c>
      <c r="J175" s="334" t="str">
        <f t="shared" si="17"/>
        <v/>
      </c>
      <c r="K175" s="726"/>
      <c r="L175" s="453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73" t="str">
        <f>'Org structure'!A2</f>
        <v>Vote 1 - Legislative Authority</v>
      </c>
      <c r="B176" s="474"/>
      <c r="C176" s="514">
        <f t="shared" ref="C176:K176" si="23">SUM(C177:C186)</f>
        <v>0</v>
      </c>
      <c r="D176" s="478">
        <f t="shared" si="23"/>
        <v>0</v>
      </c>
      <c r="E176" s="475">
        <f t="shared" si="23"/>
        <v>0</v>
      </c>
      <c r="F176" s="477">
        <f t="shared" si="23"/>
        <v>0</v>
      </c>
      <c r="G176" s="475">
        <f t="shared" si="23"/>
        <v>0</v>
      </c>
      <c r="H176" s="477">
        <f t="shared" si="23"/>
        <v>0</v>
      </c>
      <c r="I176" s="45">
        <f t="shared" si="16"/>
        <v>0</v>
      </c>
      <c r="J176" s="334" t="str">
        <f t="shared" si="17"/>
        <v/>
      </c>
      <c r="K176" s="476">
        <f t="shared" si="23"/>
        <v>0</v>
      </c>
      <c r="L176" s="453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4" t="str">
        <f>'Org structure'!E3</f>
        <v>1.1 - Office of the Major</v>
      </c>
      <c r="B177" s="452"/>
      <c r="C177" s="763"/>
      <c r="D177" s="764"/>
      <c r="E177" s="752"/>
      <c r="F177" s="765"/>
      <c r="G177" s="752"/>
      <c r="H177" s="765"/>
      <c r="I177" s="45">
        <f t="shared" si="16"/>
        <v>0</v>
      </c>
      <c r="J177" s="334" t="str">
        <f t="shared" si="17"/>
        <v/>
      </c>
      <c r="K177" s="766"/>
      <c r="L177" s="453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4" t="str">
        <f>'Org structure'!E4</f>
        <v>1.2 - Office of the Speaker</v>
      </c>
      <c r="B178" s="452"/>
      <c r="C178" s="763"/>
      <c r="D178" s="764"/>
      <c r="E178" s="752"/>
      <c r="F178" s="765"/>
      <c r="G178" s="752"/>
      <c r="H178" s="765"/>
      <c r="I178" s="45">
        <f t="shared" si="16"/>
        <v>0</v>
      </c>
      <c r="J178" s="334" t="str">
        <f t="shared" si="17"/>
        <v/>
      </c>
      <c r="K178" s="766"/>
      <c r="L178" s="453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4" t="str">
        <f>'Org structure'!E5</f>
        <v>1.3 - Council General</v>
      </c>
      <c r="B179" s="452"/>
      <c r="C179" s="763"/>
      <c r="D179" s="764"/>
      <c r="E179" s="752"/>
      <c r="F179" s="765"/>
      <c r="G179" s="752"/>
      <c r="H179" s="765"/>
      <c r="I179" s="45">
        <f t="shared" si="16"/>
        <v>0</v>
      </c>
      <c r="J179" s="334" t="str">
        <f t="shared" si="17"/>
        <v/>
      </c>
      <c r="K179" s="766"/>
      <c r="L179" s="453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4" t="str">
        <f>'Org structure'!E6</f>
        <v>1.4 - Whippery Office</v>
      </c>
      <c r="B180" s="452"/>
      <c r="C180" s="763"/>
      <c r="D180" s="764"/>
      <c r="E180" s="752"/>
      <c r="F180" s="765"/>
      <c r="G180" s="752"/>
      <c r="H180" s="765"/>
      <c r="I180" s="45">
        <f t="shared" si="16"/>
        <v>0</v>
      </c>
      <c r="J180" s="334" t="str">
        <f t="shared" si="17"/>
        <v/>
      </c>
      <c r="K180" s="766"/>
      <c r="L180" s="453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4" t="str">
        <f>'Org structure'!E7</f>
        <v>1.5 - Gender Equality &amp; Disability</v>
      </c>
      <c r="B181" s="452"/>
      <c r="C181" s="763"/>
      <c r="D181" s="764"/>
      <c r="E181" s="752"/>
      <c r="F181" s="765"/>
      <c r="G181" s="752"/>
      <c r="H181" s="765"/>
      <c r="I181" s="45">
        <f t="shared" si="16"/>
        <v>0</v>
      </c>
      <c r="J181" s="334" t="str">
        <f t="shared" si="17"/>
        <v/>
      </c>
      <c r="K181" s="766"/>
      <c r="L181" s="453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4" t="str">
        <f>'Org structure'!E8</f>
        <v>1.6 - Speaker</v>
      </c>
      <c r="B182" s="452"/>
      <c r="C182" s="763"/>
      <c r="D182" s="764"/>
      <c r="E182" s="752"/>
      <c r="F182" s="765"/>
      <c r="G182" s="752"/>
      <c r="H182" s="765"/>
      <c r="I182" s="45">
        <f t="shared" si="16"/>
        <v>0</v>
      </c>
      <c r="J182" s="334" t="str">
        <f t="shared" si="17"/>
        <v/>
      </c>
      <c r="K182" s="766"/>
      <c r="L182" s="453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4" t="str">
        <f>'Org structure'!E9</f>
        <v>1.7 - Mayoral committee</v>
      </c>
      <c r="B183" s="452"/>
      <c r="C183" s="763"/>
      <c r="D183" s="764"/>
      <c r="E183" s="752"/>
      <c r="F183" s="765"/>
      <c r="G183" s="752"/>
      <c r="H183" s="765"/>
      <c r="I183" s="45">
        <f t="shared" si="16"/>
        <v>0</v>
      </c>
      <c r="J183" s="334" t="str">
        <f t="shared" si="17"/>
        <v/>
      </c>
      <c r="K183" s="766"/>
      <c r="L183" s="453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4" t="str">
        <f>'Org structure'!E10</f>
        <v>1.8 - Executive Major</v>
      </c>
      <c r="B184" s="452"/>
      <c r="C184" s="763"/>
      <c r="D184" s="764"/>
      <c r="E184" s="752"/>
      <c r="F184" s="765"/>
      <c r="G184" s="752"/>
      <c r="H184" s="765"/>
      <c r="I184" s="45">
        <f t="shared" si="16"/>
        <v>0</v>
      </c>
      <c r="J184" s="334" t="str">
        <f t="shared" si="17"/>
        <v/>
      </c>
      <c r="K184" s="766"/>
      <c r="L184" s="453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>
      <c r="A185" s="414">
        <f>'Org structure'!E11</f>
        <v>0</v>
      </c>
      <c r="B185" s="452"/>
      <c r="C185" s="763"/>
      <c r="D185" s="764"/>
      <c r="E185" s="752"/>
      <c r="F185" s="765"/>
      <c r="G185" s="752"/>
      <c r="H185" s="765"/>
      <c r="I185" s="45">
        <f t="shared" si="16"/>
        <v>0</v>
      </c>
      <c r="J185" s="334" t="str">
        <f t="shared" si="17"/>
        <v/>
      </c>
      <c r="K185" s="766"/>
      <c r="L185" s="453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>
      <c r="A186" s="414">
        <f>'Org structure'!E12</f>
        <v>0</v>
      </c>
      <c r="B186" s="452"/>
      <c r="C186" s="763"/>
      <c r="D186" s="764"/>
      <c r="E186" s="752"/>
      <c r="F186" s="765"/>
      <c r="G186" s="752"/>
      <c r="H186" s="765"/>
      <c r="I186" s="45">
        <f t="shared" si="16"/>
        <v>0</v>
      </c>
      <c r="J186" s="334" t="str">
        <f t="shared" si="17"/>
        <v/>
      </c>
      <c r="K186" s="766"/>
      <c r="L186" s="49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</row>
    <row r="187" spans="1:23" ht="11.25" customHeight="1">
      <c r="A187" s="473" t="str">
        <f>'Org structure'!A3</f>
        <v>Vote 2 - Office of the Municipal Manager</v>
      </c>
      <c r="B187" s="447"/>
      <c r="C187" s="510">
        <f>SUM(C188:C197)</f>
        <v>0</v>
      </c>
      <c r="D187" s="451">
        <f>SUM(D188:D197)</f>
        <v>0</v>
      </c>
      <c r="E187" s="448">
        <f t="shared" ref="E187:K187" si="24">SUM(E188:E197)</f>
        <v>0</v>
      </c>
      <c r="F187" s="450">
        <f t="shared" si="24"/>
        <v>0</v>
      </c>
      <c r="G187" s="448">
        <f t="shared" si="24"/>
        <v>0</v>
      </c>
      <c r="H187" s="450">
        <f t="shared" si="24"/>
        <v>0</v>
      </c>
      <c r="I187" s="45">
        <f t="shared" si="16"/>
        <v>0</v>
      </c>
      <c r="J187" s="334" t="str">
        <f t="shared" si="17"/>
        <v/>
      </c>
      <c r="K187" s="449">
        <f t="shared" si="24"/>
        <v>0</v>
      </c>
      <c r="L187" s="49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</row>
    <row r="188" spans="1:23" ht="11.25" customHeight="1">
      <c r="A188" s="414" t="str">
        <f>'Org structure'!E14</f>
        <v>2.1 - Municipal Manager Administration</v>
      </c>
      <c r="B188" s="452"/>
      <c r="C188" s="763"/>
      <c r="D188" s="764"/>
      <c r="E188" s="752"/>
      <c r="F188" s="765"/>
      <c r="G188" s="752"/>
      <c r="H188" s="765"/>
      <c r="I188" s="45">
        <f t="shared" si="16"/>
        <v>0</v>
      </c>
      <c r="J188" s="334" t="str">
        <f t="shared" si="17"/>
        <v/>
      </c>
      <c r="K188" s="766"/>
      <c r="L188" s="49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</row>
    <row r="189" spans="1:23" ht="11.25" customHeight="1">
      <c r="A189" s="414" t="str">
        <f>'Org structure'!E15</f>
        <v>2.2 - Information Technology</v>
      </c>
      <c r="B189" s="452"/>
      <c r="C189" s="763"/>
      <c r="D189" s="764"/>
      <c r="E189" s="752"/>
      <c r="F189" s="765"/>
      <c r="G189" s="752"/>
      <c r="H189" s="765"/>
      <c r="I189" s="45">
        <f t="shared" si="16"/>
        <v>0</v>
      </c>
      <c r="J189" s="334" t="str">
        <f t="shared" si="17"/>
        <v/>
      </c>
      <c r="K189" s="766"/>
      <c r="L189" s="49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</row>
    <row r="190" spans="1:23" ht="11.25" customHeight="1">
      <c r="A190" s="414" t="str">
        <f>'Org structure'!E16</f>
        <v>2.3 - Internal Audit</v>
      </c>
      <c r="B190" s="452"/>
      <c r="C190" s="763"/>
      <c r="D190" s="764"/>
      <c r="E190" s="752"/>
      <c r="F190" s="765"/>
      <c r="G190" s="752"/>
      <c r="H190" s="765"/>
      <c r="I190" s="45">
        <f t="shared" si="16"/>
        <v>0</v>
      </c>
      <c r="J190" s="334" t="str">
        <f t="shared" si="17"/>
        <v/>
      </c>
      <c r="K190" s="766"/>
      <c r="L190" s="49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</row>
    <row r="191" spans="1:23" ht="11.25" customHeight="1">
      <c r="A191" s="414" t="str">
        <f>'Org structure'!E17</f>
        <v>2.4 - Communications</v>
      </c>
      <c r="B191" s="452"/>
      <c r="C191" s="763"/>
      <c r="D191" s="764"/>
      <c r="E191" s="752"/>
      <c r="F191" s="765"/>
      <c r="G191" s="752"/>
      <c r="H191" s="765"/>
      <c r="I191" s="45">
        <f t="shared" si="16"/>
        <v>0</v>
      </c>
      <c r="J191" s="334" t="str">
        <f t="shared" si="17"/>
        <v/>
      </c>
      <c r="K191" s="766"/>
      <c r="L191" s="49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</row>
    <row r="192" spans="1:23" ht="11.25" customHeight="1">
      <c r="A192" s="414" t="str">
        <f>'Org structure'!E18</f>
        <v>2.5 - Risk Management</v>
      </c>
      <c r="B192" s="452"/>
      <c r="C192" s="763"/>
      <c r="D192" s="764"/>
      <c r="E192" s="752"/>
      <c r="F192" s="765"/>
      <c r="G192" s="752"/>
      <c r="H192" s="765"/>
      <c r="I192" s="45">
        <f t="shared" si="16"/>
        <v>0</v>
      </c>
      <c r="J192" s="334" t="str">
        <f t="shared" si="17"/>
        <v/>
      </c>
      <c r="K192" s="766"/>
      <c r="L192" s="49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</row>
    <row r="193" spans="1:23" ht="11.25" customHeight="1">
      <c r="A193" s="414" t="str">
        <f>'Org structure'!E19</f>
        <v>2.6 - Security</v>
      </c>
      <c r="B193" s="452"/>
      <c r="C193" s="763"/>
      <c r="D193" s="764"/>
      <c r="E193" s="752"/>
      <c r="F193" s="765"/>
      <c r="G193" s="752"/>
      <c r="H193" s="765"/>
      <c r="I193" s="45">
        <f t="shared" si="16"/>
        <v>0</v>
      </c>
      <c r="J193" s="334" t="str">
        <f t="shared" si="17"/>
        <v/>
      </c>
      <c r="K193" s="766"/>
      <c r="L193" s="49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</row>
    <row r="194" spans="1:23" ht="11.25" customHeight="1">
      <c r="A194" s="414" t="str">
        <f>'Org structure'!E20</f>
        <v>2.7 - Municipal Manager</v>
      </c>
      <c r="B194" s="452"/>
      <c r="C194" s="763"/>
      <c r="D194" s="764"/>
      <c r="E194" s="752"/>
      <c r="F194" s="765"/>
      <c r="G194" s="752"/>
      <c r="H194" s="765"/>
      <c r="I194" s="45">
        <f t="shared" si="16"/>
        <v>0</v>
      </c>
      <c r="J194" s="334" t="str">
        <f t="shared" si="17"/>
        <v/>
      </c>
      <c r="K194" s="766"/>
      <c r="L194" s="49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</row>
    <row r="195" spans="1:23" ht="11.25" customHeight="1">
      <c r="A195" s="414">
        <f>'Org structure'!E21</f>
        <v>0</v>
      </c>
      <c r="B195" s="452"/>
      <c r="C195" s="763"/>
      <c r="D195" s="764"/>
      <c r="E195" s="752"/>
      <c r="F195" s="765"/>
      <c r="G195" s="752"/>
      <c r="H195" s="765"/>
      <c r="I195" s="45">
        <f t="shared" si="16"/>
        <v>0</v>
      </c>
      <c r="J195" s="334" t="str">
        <f t="shared" si="17"/>
        <v/>
      </c>
      <c r="K195" s="766"/>
      <c r="L195" s="49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</row>
    <row r="196" spans="1:23" ht="11.25" customHeight="1">
      <c r="A196" s="414">
        <f>'Org structure'!E22</f>
        <v>0</v>
      </c>
      <c r="B196" s="452"/>
      <c r="C196" s="763"/>
      <c r="D196" s="764"/>
      <c r="E196" s="752"/>
      <c r="F196" s="765"/>
      <c r="G196" s="752"/>
      <c r="H196" s="765"/>
      <c r="I196" s="45">
        <f t="shared" si="16"/>
        <v>0</v>
      </c>
      <c r="J196" s="334" t="str">
        <f t="shared" si="17"/>
        <v/>
      </c>
      <c r="K196" s="766"/>
      <c r="L196" s="49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</row>
    <row r="197" spans="1:23" ht="11.25" customHeight="1">
      <c r="A197" s="414">
        <f>'Org structure'!E23</f>
        <v>0</v>
      </c>
      <c r="B197" s="452"/>
      <c r="C197" s="763"/>
      <c r="D197" s="764"/>
      <c r="E197" s="752"/>
      <c r="F197" s="765"/>
      <c r="G197" s="752"/>
      <c r="H197" s="765"/>
      <c r="I197" s="45">
        <f t="shared" si="16"/>
        <v>0</v>
      </c>
      <c r="J197" s="334" t="str">
        <f t="shared" si="17"/>
        <v/>
      </c>
      <c r="K197" s="766"/>
      <c r="L197" s="49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</row>
    <row r="198" spans="1:23" ht="11.25" customHeight="1">
      <c r="A198" s="473" t="str">
        <f>'Org structure'!A4</f>
        <v>Vote 3 - Corporate Services</v>
      </c>
      <c r="B198" s="447"/>
      <c r="C198" s="510">
        <f t="shared" ref="C198:K198" si="25">SUM(C199:C208)</f>
        <v>0</v>
      </c>
      <c r="D198" s="451">
        <f t="shared" si="25"/>
        <v>0</v>
      </c>
      <c r="E198" s="448">
        <f t="shared" si="25"/>
        <v>0</v>
      </c>
      <c r="F198" s="450">
        <f t="shared" si="25"/>
        <v>0</v>
      </c>
      <c r="G198" s="448">
        <f t="shared" si="25"/>
        <v>0</v>
      </c>
      <c r="H198" s="450">
        <f t="shared" si="25"/>
        <v>0</v>
      </c>
      <c r="I198" s="45">
        <f t="shared" si="16"/>
        <v>0</v>
      </c>
      <c r="J198" s="334" t="str">
        <f t="shared" si="17"/>
        <v/>
      </c>
      <c r="K198" s="449">
        <f t="shared" si="25"/>
        <v>0</v>
      </c>
      <c r="L198" s="49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</row>
    <row r="199" spans="1:23" ht="11.25" customHeight="1">
      <c r="A199" s="414" t="str">
        <f>'Org structure'!E25</f>
        <v>3.1 - Corporate Administration</v>
      </c>
      <c r="B199" s="452"/>
      <c r="C199" s="763"/>
      <c r="D199" s="764"/>
      <c r="E199" s="752"/>
      <c r="F199" s="765"/>
      <c r="G199" s="752"/>
      <c r="H199" s="765"/>
      <c r="I199" s="45">
        <f t="shared" si="16"/>
        <v>0</v>
      </c>
      <c r="J199" s="334" t="str">
        <f t="shared" si="17"/>
        <v/>
      </c>
      <c r="K199" s="766"/>
      <c r="L199" s="49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</row>
    <row r="200" spans="1:23" ht="11.25" customHeight="1">
      <c r="A200" s="414" t="str">
        <f>'Org structure'!E26</f>
        <v>3.2 - Human Resources</v>
      </c>
      <c r="B200" s="452"/>
      <c r="C200" s="763"/>
      <c r="D200" s="764"/>
      <c r="E200" s="752"/>
      <c r="F200" s="765"/>
      <c r="G200" s="752"/>
      <c r="H200" s="765"/>
      <c r="I200" s="45">
        <f t="shared" ref="I200:I263" si="26">G200-H200</f>
        <v>0</v>
      </c>
      <c r="J200" s="334" t="str">
        <f t="shared" ref="J200:J263" si="27">IF(I200=0,"",I200/H200)</f>
        <v/>
      </c>
      <c r="K200" s="766"/>
      <c r="L200" s="49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</row>
    <row r="201" spans="1:23" ht="11.25" customHeight="1">
      <c r="A201" s="414" t="str">
        <f>'Org structure'!E27</f>
        <v>3.3 - Offices &amp; Townhalls</v>
      </c>
      <c r="B201" s="452"/>
      <c r="C201" s="401"/>
      <c r="D201" s="390"/>
      <c r="E201" s="391"/>
      <c r="F201" s="479"/>
      <c r="G201" s="391"/>
      <c r="H201" s="479"/>
      <c r="I201" s="45">
        <f t="shared" si="26"/>
        <v>0</v>
      </c>
      <c r="J201" s="334" t="str">
        <f t="shared" si="27"/>
        <v/>
      </c>
      <c r="K201" s="402"/>
      <c r="L201" s="49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</row>
    <row r="202" spans="1:23" ht="11.25" customHeight="1">
      <c r="A202" s="414" t="str">
        <f>'Org structure'!E28</f>
        <v>3.4 - Director Corporate</v>
      </c>
      <c r="B202" s="452"/>
      <c r="C202" s="401"/>
      <c r="D202" s="390"/>
      <c r="E202" s="391"/>
      <c r="F202" s="479"/>
      <c r="G202" s="391"/>
      <c r="H202" s="479"/>
      <c r="I202" s="45">
        <f t="shared" si="26"/>
        <v>0</v>
      </c>
      <c r="J202" s="334" t="str">
        <f t="shared" si="27"/>
        <v/>
      </c>
      <c r="K202" s="402"/>
      <c r="L202" s="49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</row>
    <row r="203" spans="1:23" ht="11.25" customHeight="1">
      <c r="A203" s="414">
        <f>'Org structure'!E29</f>
        <v>0</v>
      </c>
      <c r="B203" s="452"/>
      <c r="C203" s="401"/>
      <c r="D203" s="390"/>
      <c r="E203" s="391"/>
      <c r="F203" s="479"/>
      <c r="G203" s="391"/>
      <c r="H203" s="479"/>
      <c r="I203" s="45">
        <f t="shared" si="26"/>
        <v>0</v>
      </c>
      <c r="J203" s="334" t="str">
        <f t="shared" si="27"/>
        <v/>
      </c>
      <c r="K203" s="402"/>
      <c r="L203" s="49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</row>
    <row r="204" spans="1:23" ht="11.25" customHeight="1">
      <c r="A204" s="414">
        <f>'Org structure'!E30</f>
        <v>0</v>
      </c>
      <c r="B204" s="452"/>
      <c r="C204" s="401"/>
      <c r="D204" s="390"/>
      <c r="E204" s="391"/>
      <c r="F204" s="479"/>
      <c r="G204" s="391"/>
      <c r="H204" s="479"/>
      <c r="I204" s="45">
        <f t="shared" si="26"/>
        <v>0</v>
      </c>
      <c r="J204" s="334" t="str">
        <f t="shared" si="27"/>
        <v/>
      </c>
      <c r="K204" s="402"/>
      <c r="L204" s="49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</row>
    <row r="205" spans="1:23" ht="11.25" customHeight="1">
      <c r="A205" s="414">
        <f>'Org structure'!E31</f>
        <v>0</v>
      </c>
      <c r="B205" s="452"/>
      <c r="C205" s="401"/>
      <c r="D205" s="390"/>
      <c r="E205" s="391"/>
      <c r="F205" s="479"/>
      <c r="G205" s="391"/>
      <c r="H205" s="479"/>
      <c r="I205" s="45">
        <f t="shared" si="26"/>
        <v>0</v>
      </c>
      <c r="J205" s="334" t="str">
        <f t="shared" si="27"/>
        <v/>
      </c>
      <c r="K205" s="402"/>
      <c r="L205" s="49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</row>
    <row r="206" spans="1:23" ht="11.25" customHeight="1">
      <c r="A206" s="414">
        <f>'Org structure'!E32</f>
        <v>0</v>
      </c>
      <c r="B206" s="452"/>
      <c r="C206" s="401"/>
      <c r="D206" s="390"/>
      <c r="E206" s="391"/>
      <c r="F206" s="479"/>
      <c r="G206" s="391"/>
      <c r="H206" s="479"/>
      <c r="I206" s="45">
        <f t="shared" si="26"/>
        <v>0</v>
      </c>
      <c r="J206" s="334" t="str">
        <f t="shared" si="27"/>
        <v/>
      </c>
      <c r="K206" s="402"/>
      <c r="L206" s="49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</row>
    <row r="207" spans="1:23" ht="11.25" customHeight="1">
      <c r="A207" s="414">
        <f>'Org structure'!E33</f>
        <v>0</v>
      </c>
      <c r="B207" s="452"/>
      <c r="C207" s="401"/>
      <c r="D207" s="390"/>
      <c r="E207" s="391"/>
      <c r="F207" s="479"/>
      <c r="G207" s="391"/>
      <c r="H207" s="479"/>
      <c r="I207" s="45">
        <f t="shared" si="26"/>
        <v>0</v>
      </c>
      <c r="J207" s="334" t="str">
        <f t="shared" si="27"/>
        <v/>
      </c>
      <c r="K207" s="402"/>
      <c r="L207" s="49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</row>
    <row r="208" spans="1:23" ht="11.25" customHeight="1">
      <c r="A208" s="414">
        <f>'Org structure'!E34</f>
        <v>0</v>
      </c>
      <c r="B208" s="452"/>
      <c r="C208" s="401"/>
      <c r="D208" s="390"/>
      <c r="E208" s="391"/>
      <c r="F208" s="479"/>
      <c r="G208" s="391"/>
      <c r="H208" s="479"/>
      <c r="I208" s="45">
        <f t="shared" si="26"/>
        <v>0</v>
      </c>
      <c r="J208" s="334" t="str">
        <f t="shared" si="27"/>
        <v/>
      </c>
      <c r="K208" s="402"/>
      <c r="L208" s="49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</row>
    <row r="209" spans="1:23" ht="11.25" customHeight="1">
      <c r="A209" s="473" t="str">
        <f>'Org structure'!A5</f>
        <v>Vote 4 - Financial Services</v>
      </c>
      <c r="B209" s="447"/>
      <c r="C209" s="510">
        <f t="shared" ref="C209:K209" si="28">SUM(C210:C219)</f>
        <v>0</v>
      </c>
      <c r="D209" s="451">
        <f t="shared" si="28"/>
        <v>0</v>
      </c>
      <c r="E209" s="448">
        <f t="shared" si="28"/>
        <v>0</v>
      </c>
      <c r="F209" s="450">
        <f t="shared" si="28"/>
        <v>0</v>
      </c>
      <c r="G209" s="448">
        <f t="shared" si="28"/>
        <v>0</v>
      </c>
      <c r="H209" s="450">
        <f t="shared" si="28"/>
        <v>0</v>
      </c>
      <c r="I209" s="45">
        <f t="shared" si="26"/>
        <v>0</v>
      </c>
      <c r="J209" s="334" t="str">
        <f t="shared" si="27"/>
        <v/>
      </c>
      <c r="K209" s="449">
        <f t="shared" si="28"/>
        <v>0</v>
      </c>
      <c r="L209" s="49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</row>
    <row r="210" spans="1:23" ht="11.25" customHeight="1">
      <c r="A210" s="414" t="str">
        <f>'Org structure'!E36</f>
        <v>4.1 - Budget &amp; Reporting</v>
      </c>
      <c r="B210" s="452"/>
      <c r="C210" s="401"/>
      <c r="D210" s="390"/>
      <c r="E210" s="391"/>
      <c r="F210" s="479"/>
      <c r="G210" s="391"/>
      <c r="H210" s="479"/>
      <c r="I210" s="45">
        <f t="shared" si="26"/>
        <v>0</v>
      </c>
      <c r="J210" s="334" t="str">
        <f t="shared" si="27"/>
        <v/>
      </c>
      <c r="K210" s="402"/>
      <c r="L210" s="49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</row>
    <row r="211" spans="1:23" ht="11.25" customHeight="1">
      <c r="A211" s="414" t="str">
        <f>'Org structure'!E37</f>
        <v>4.2 - Management</v>
      </c>
      <c r="B211" s="452"/>
      <c r="C211" s="401"/>
      <c r="D211" s="390"/>
      <c r="E211" s="391"/>
      <c r="F211" s="479"/>
      <c r="G211" s="391"/>
      <c r="H211" s="479"/>
      <c r="I211" s="45">
        <f t="shared" si="26"/>
        <v>0</v>
      </c>
      <c r="J211" s="334" t="str">
        <f t="shared" si="27"/>
        <v/>
      </c>
      <c r="K211" s="402"/>
      <c r="L211" s="49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</row>
    <row r="212" spans="1:23" ht="11.25" customHeight="1">
      <c r="A212" s="414" t="str">
        <f>'Org structure'!E38</f>
        <v>4.3 - Financial Accounting</v>
      </c>
      <c r="B212" s="452"/>
      <c r="C212" s="401"/>
      <c r="D212" s="390"/>
      <c r="E212" s="391"/>
      <c r="F212" s="479"/>
      <c r="G212" s="391"/>
      <c r="H212" s="479"/>
      <c r="I212" s="45">
        <f t="shared" si="26"/>
        <v>0</v>
      </c>
      <c r="J212" s="334" t="str">
        <f t="shared" si="27"/>
        <v/>
      </c>
      <c r="K212" s="402"/>
      <c r="L212" s="49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</row>
    <row r="213" spans="1:23" ht="11.25" customHeight="1">
      <c r="A213" s="414" t="str">
        <f>'Org structure'!E39</f>
        <v>4.4 - Income</v>
      </c>
      <c r="B213" s="452"/>
      <c r="C213" s="401"/>
      <c r="D213" s="390"/>
      <c r="E213" s="391"/>
      <c r="F213" s="479"/>
      <c r="G213" s="391"/>
      <c r="H213" s="479"/>
      <c r="I213" s="45">
        <f t="shared" si="26"/>
        <v>0</v>
      </c>
      <c r="J213" s="334" t="str">
        <f t="shared" si="27"/>
        <v/>
      </c>
      <c r="K213" s="402"/>
      <c r="L213" s="49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</row>
    <row r="214" spans="1:23" ht="11.25" customHeight="1">
      <c r="A214" s="414" t="str">
        <f>'Org structure'!E40</f>
        <v>4.5 - Expenditure</v>
      </c>
      <c r="B214" s="452"/>
      <c r="C214" s="401"/>
      <c r="D214" s="390"/>
      <c r="E214" s="391"/>
      <c r="F214" s="479"/>
      <c r="G214" s="391"/>
      <c r="H214" s="479"/>
      <c r="I214" s="45">
        <f t="shared" si="26"/>
        <v>0</v>
      </c>
      <c r="J214" s="334" t="str">
        <f t="shared" si="27"/>
        <v/>
      </c>
      <c r="K214" s="402"/>
      <c r="L214" s="49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</row>
    <row r="215" spans="1:23" ht="11.25" customHeight="1">
      <c r="A215" s="414" t="str">
        <f>'Org structure'!E41</f>
        <v>4.6 - Revenue Management</v>
      </c>
      <c r="B215" s="452"/>
      <c r="C215" s="401"/>
      <c r="D215" s="390"/>
      <c r="E215" s="391"/>
      <c r="F215" s="479"/>
      <c r="G215" s="391"/>
      <c r="H215" s="479"/>
      <c r="I215" s="45">
        <f t="shared" si="26"/>
        <v>0</v>
      </c>
      <c r="J215" s="334" t="str">
        <f t="shared" si="27"/>
        <v/>
      </c>
      <c r="K215" s="402"/>
      <c r="L215" s="49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</row>
    <row r="216" spans="1:23" ht="11.25" customHeight="1">
      <c r="A216" s="414" t="str">
        <f>'Org structure'!E42</f>
        <v>4.7 - Finance Interns</v>
      </c>
      <c r="B216" s="452"/>
      <c r="C216" s="401"/>
      <c r="D216" s="390"/>
      <c r="E216" s="391"/>
      <c r="F216" s="479"/>
      <c r="G216" s="391"/>
      <c r="H216" s="479"/>
      <c r="I216" s="45">
        <f t="shared" si="26"/>
        <v>0</v>
      </c>
      <c r="J216" s="334" t="str">
        <f t="shared" si="27"/>
        <v/>
      </c>
      <c r="K216" s="402"/>
      <c r="L216" s="49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</row>
    <row r="217" spans="1:23" ht="11.25" customHeight="1">
      <c r="A217" s="414" t="str">
        <f>'Org structure'!E43</f>
        <v>4.8 - Chief Financial Officer</v>
      </c>
      <c r="B217" s="452"/>
      <c r="C217" s="401"/>
      <c r="D217" s="390"/>
      <c r="E217" s="391"/>
      <c r="F217" s="479"/>
      <c r="G217" s="391"/>
      <c r="H217" s="479"/>
      <c r="I217" s="45">
        <f t="shared" si="26"/>
        <v>0</v>
      </c>
      <c r="J217" s="334" t="str">
        <f t="shared" si="27"/>
        <v/>
      </c>
      <c r="K217" s="402"/>
      <c r="L217" s="49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</row>
    <row r="218" spans="1:23" ht="11.25" customHeight="1">
      <c r="A218" s="414">
        <f>'Org structure'!E44</f>
        <v>0</v>
      </c>
      <c r="B218" s="452"/>
      <c r="C218" s="401"/>
      <c r="D218" s="390"/>
      <c r="E218" s="391"/>
      <c r="F218" s="479"/>
      <c r="G218" s="391"/>
      <c r="H218" s="479"/>
      <c r="I218" s="45">
        <f t="shared" si="26"/>
        <v>0</v>
      </c>
      <c r="J218" s="334" t="str">
        <f t="shared" si="27"/>
        <v/>
      </c>
      <c r="K218" s="402"/>
      <c r="L218" s="49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</row>
    <row r="219" spans="1:23" ht="11.25" customHeight="1">
      <c r="A219" s="414">
        <f>'Org structure'!E45</f>
        <v>0</v>
      </c>
      <c r="B219" s="452"/>
      <c r="C219" s="401"/>
      <c r="D219" s="390"/>
      <c r="E219" s="391"/>
      <c r="F219" s="479"/>
      <c r="G219" s="391"/>
      <c r="H219" s="479"/>
      <c r="I219" s="45">
        <f t="shared" si="26"/>
        <v>0</v>
      </c>
      <c r="J219" s="334" t="str">
        <f t="shared" si="27"/>
        <v/>
      </c>
      <c r="K219" s="402"/>
      <c r="L219" s="49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</row>
    <row r="220" spans="1:23" ht="11.25" customHeight="1">
      <c r="A220" s="473" t="str">
        <f>'Org structure'!A6</f>
        <v>Vote 5 - Municipal Infrastructure</v>
      </c>
      <c r="B220" s="447"/>
      <c r="C220" s="510">
        <f t="shared" ref="C220:K220" si="29">SUM(C221:C230)</f>
        <v>0</v>
      </c>
      <c r="D220" s="451">
        <f t="shared" si="29"/>
        <v>108562000</v>
      </c>
      <c r="E220" s="448">
        <f t="shared" si="29"/>
        <v>0</v>
      </c>
      <c r="F220" s="450">
        <f t="shared" si="29"/>
        <v>1300</v>
      </c>
      <c r="G220" s="448">
        <f t="shared" si="29"/>
        <v>7696245.96</v>
      </c>
      <c r="H220" s="450">
        <f t="shared" si="29"/>
        <v>108562000</v>
      </c>
      <c r="I220" s="45">
        <f t="shared" si="26"/>
        <v>-100865754.04000001</v>
      </c>
      <c r="J220" s="334">
        <f t="shared" si="27"/>
        <v>-0.92910736758718526</v>
      </c>
      <c r="K220" s="449">
        <f t="shared" si="29"/>
        <v>108562000</v>
      </c>
      <c r="L220" s="49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</row>
    <row r="221" spans="1:23" ht="11.25" customHeight="1">
      <c r="A221" s="414" t="str">
        <f>'Org structure'!E47</f>
        <v>5.1 - Vihicle/ Workshop Maintenance</v>
      </c>
      <c r="B221" s="452"/>
      <c r="C221" s="401"/>
      <c r="D221" s="390"/>
      <c r="E221" s="391"/>
      <c r="F221" s="479"/>
      <c r="G221" s="391"/>
      <c r="H221" s="390"/>
      <c r="I221" s="45">
        <f t="shared" si="26"/>
        <v>0</v>
      </c>
      <c r="J221" s="334" t="str">
        <f t="shared" si="27"/>
        <v/>
      </c>
      <c r="K221" s="390"/>
      <c r="L221" s="49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</row>
    <row r="222" spans="1:23" ht="11.25" customHeight="1">
      <c r="A222" s="414" t="str">
        <f>'Org structure'!E48</f>
        <v>5.2 - Electricity</v>
      </c>
      <c r="B222" s="452"/>
      <c r="C222" s="401"/>
      <c r="D222" s="390"/>
      <c r="E222" s="391"/>
      <c r="F222" s="479"/>
      <c r="G222" s="391"/>
      <c r="H222" s="390"/>
      <c r="I222" s="45">
        <f t="shared" si="26"/>
        <v>0</v>
      </c>
      <c r="J222" s="334" t="str">
        <f t="shared" si="27"/>
        <v/>
      </c>
      <c r="K222" s="390"/>
      <c r="L222" s="49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</row>
    <row r="223" spans="1:23" ht="11.25" customHeight="1">
      <c r="A223" s="414" t="str">
        <f>'Org structure'!E49</f>
        <v>5.3 - Adminstration</v>
      </c>
      <c r="B223" s="452"/>
      <c r="C223" s="401"/>
      <c r="D223" s="390">
        <f>22500000+3000000+8062000+35000000+40000000</f>
        <v>108562000</v>
      </c>
      <c r="E223" s="391"/>
      <c r="F223" s="479">
        <f>1300</f>
        <v>1300</v>
      </c>
      <c r="G223" s="391">
        <f>3537940+11900+13200+2364320+13200+1754385.96+1300</f>
        <v>7696245.96</v>
      </c>
      <c r="H223" s="390">
        <f>22500000+3000000+8062000+35000000+40000000</f>
        <v>108562000</v>
      </c>
      <c r="I223" s="45">
        <f t="shared" si="26"/>
        <v>-100865754.04000001</v>
      </c>
      <c r="J223" s="334">
        <f t="shared" si="27"/>
        <v>-0.92910736758718526</v>
      </c>
      <c r="K223" s="390">
        <f>22500000+3000000+8062000+35000000+40000000</f>
        <v>108562000</v>
      </c>
      <c r="L223" s="49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</row>
    <row r="224" spans="1:23" ht="11.25" customHeight="1">
      <c r="A224" s="414" t="str">
        <f>'Org structure'!E50</f>
        <v>5.4 - Maluti Water</v>
      </c>
      <c r="B224" s="452"/>
      <c r="C224" s="401"/>
      <c r="D224" s="390"/>
      <c r="E224" s="391"/>
      <c r="F224" s="479"/>
      <c r="G224" s="391"/>
      <c r="H224" s="390"/>
      <c r="I224" s="45">
        <f t="shared" si="26"/>
        <v>0</v>
      </c>
      <c r="J224" s="334" t="str">
        <f t="shared" si="27"/>
        <v/>
      </c>
      <c r="K224" s="390"/>
      <c r="L224" s="49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</row>
    <row r="225" spans="1:23" ht="11.25" customHeight="1">
      <c r="A225" s="414" t="str">
        <f>'Org structure'!E51</f>
        <v>5.5 - PMU</v>
      </c>
      <c r="B225" s="452"/>
      <c r="C225" s="401"/>
      <c r="D225" s="390"/>
      <c r="E225" s="391"/>
      <c r="F225" s="479"/>
      <c r="G225" s="391"/>
      <c r="H225" s="390"/>
      <c r="I225" s="45">
        <f t="shared" si="26"/>
        <v>0</v>
      </c>
      <c r="J225" s="334" t="str">
        <f t="shared" si="27"/>
        <v/>
      </c>
      <c r="K225" s="390"/>
      <c r="L225" s="49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</row>
    <row r="226" spans="1:23" ht="11.25" customHeight="1">
      <c r="A226" s="414" t="str">
        <f>'Org structure'!E52</f>
        <v>5.6 - Director Municipal Infrastructure</v>
      </c>
      <c r="B226" s="452"/>
      <c r="C226" s="401"/>
      <c r="D226" s="390"/>
      <c r="E226" s="391"/>
      <c r="F226" s="479"/>
      <c r="G226" s="391"/>
      <c r="H226" s="390"/>
      <c r="I226" s="45">
        <f t="shared" si="26"/>
        <v>0</v>
      </c>
      <c r="J226" s="334" t="str">
        <f t="shared" si="27"/>
        <v/>
      </c>
      <c r="K226" s="390"/>
      <c r="L226" s="49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</row>
    <row r="227" spans="1:23" ht="11.25" customHeight="1">
      <c r="A227" s="414" t="str">
        <f>'Org structure'!E53</f>
        <v>5.7 - Refuse Removal &amp; Dumping Site</v>
      </c>
      <c r="B227" s="452"/>
      <c r="C227" s="401"/>
      <c r="D227" s="390"/>
      <c r="E227" s="391"/>
      <c r="F227" s="479"/>
      <c r="G227" s="391"/>
      <c r="H227" s="390"/>
      <c r="I227" s="45">
        <f t="shared" si="26"/>
        <v>0</v>
      </c>
      <c r="J227" s="334" t="str">
        <f t="shared" si="27"/>
        <v/>
      </c>
      <c r="K227" s="390"/>
      <c r="L227" s="49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</row>
    <row r="228" spans="1:23" ht="11.25" customHeight="1">
      <c r="A228" s="414">
        <f>'Org structure'!E54</f>
        <v>0</v>
      </c>
      <c r="B228" s="452"/>
      <c r="C228" s="401"/>
      <c r="D228" s="390"/>
      <c r="E228" s="391"/>
      <c r="F228" s="479"/>
      <c r="G228" s="391"/>
      <c r="H228" s="390"/>
      <c r="I228" s="45">
        <f t="shared" si="26"/>
        <v>0</v>
      </c>
      <c r="J228" s="334" t="str">
        <f t="shared" si="27"/>
        <v/>
      </c>
      <c r="K228" s="390"/>
      <c r="L228" s="49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</row>
    <row r="229" spans="1:23" ht="11.25" customHeight="1">
      <c r="A229" s="414">
        <f>'Org structure'!E55</f>
        <v>0</v>
      </c>
      <c r="B229" s="452"/>
      <c r="C229" s="401"/>
      <c r="D229" s="390"/>
      <c r="E229" s="391"/>
      <c r="F229" s="479"/>
      <c r="G229" s="391"/>
      <c r="H229" s="390"/>
      <c r="I229" s="45">
        <f t="shared" si="26"/>
        <v>0</v>
      </c>
      <c r="J229" s="334" t="str">
        <f t="shared" si="27"/>
        <v/>
      </c>
      <c r="K229" s="390"/>
      <c r="L229" s="49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</row>
    <row r="230" spans="1:23" ht="11.25" customHeight="1">
      <c r="A230" s="414">
        <f>'Org structure'!E56</f>
        <v>0</v>
      </c>
      <c r="B230" s="452"/>
      <c r="C230" s="401"/>
      <c r="D230" s="390"/>
      <c r="E230" s="391"/>
      <c r="F230" s="479"/>
      <c r="G230" s="391"/>
      <c r="H230" s="390"/>
      <c r="I230" s="45">
        <f t="shared" si="26"/>
        <v>0</v>
      </c>
      <c r="J230" s="334" t="str">
        <f t="shared" si="27"/>
        <v/>
      </c>
      <c r="K230" s="390"/>
      <c r="L230" s="49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</row>
    <row r="231" spans="1:23" ht="11.25" customHeight="1">
      <c r="A231" s="473" t="str">
        <f>'Org structure'!A7</f>
        <v>Vote 6 - Community Services</v>
      </c>
      <c r="B231" s="447"/>
      <c r="C231" s="510">
        <f t="shared" ref="C231:K231" si="30">SUM(C232:C241)</f>
        <v>0</v>
      </c>
      <c r="D231" s="451">
        <f t="shared" si="30"/>
        <v>0</v>
      </c>
      <c r="E231" s="448">
        <f t="shared" si="30"/>
        <v>0</v>
      </c>
      <c r="F231" s="450">
        <f t="shared" si="30"/>
        <v>0</v>
      </c>
      <c r="G231" s="448">
        <f t="shared" si="30"/>
        <v>0</v>
      </c>
      <c r="H231" s="450">
        <f t="shared" si="30"/>
        <v>0</v>
      </c>
      <c r="I231" s="45">
        <f t="shared" si="26"/>
        <v>0</v>
      </c>
      <c r="J231" s="334" t="str">
        <f t="shared" si="27"/>
        <v/>
      </c>
      <c r="K231" s="449">
        <f t="shared" si="30"/>
        <v>0</v>
      </c>
      <c r="L231" s="49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</row>
    <row r="232" spans="1:23" ht="11.25" customHeight="1">
      <c r="A232" s="414" t="str">
        <f>'Org structure'!E58</f>
        <v>6.1 - Administration</v>
      </c>
      <c r="B232" s="452"/>
      <c r="C232" s="401"/>
      <c r="D232" s="390"/>
      <c r="E232" s="391"/>
      <c r="F232" s="479"/>
      <c r="G232" s="391"/>
      <c r="H232" s="479"/>
      <c r="I232" s="45">
        <f t="shared" si="26"/>
        <v>0</v>
      </c>
      <c r="J232" s="334" t="str">
        <f t="shared" si="27"/>
        <v/>
      </c>
      <c r="K232" s="402"/>
      <c r="L232" s="49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</row>
    <row r="233" spans="1:23" ht="11.25" customHeight="1">
      <c r="A233" s="414" t="str">
        <f>'Org structure'!E59</f>
        <v>6.2 - Social Services</v>
      </c>
      <c r="B233" s="452"/>
      <c r="C233" s="401"/>
      <c r="D233" s="390"/>
      <c r="E233" s="391"/>
      <c r="F233" s="479"/>
      <c r="G233" s="391"/>
      <c r="H233" s="479"/>
      <c r="I233" s="45">
        <f t="shared" si="26"/>
        <v>0</v>
      </c>
      <c r="J233" s="334" t="str">
        <f t="shared" si="27"/>
        <v/>
      </c>
      <c r="K233" s="402"/>
      <c r="L233" s="49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</row>
    <row r="234" spans="1:23" ht="11.25" customHeight="1">
      <c r="A234" s="414" t="str">
        <f>'Org structure'!E60</f>
        <v>6.3 - Libraries</v>
      </c>
      <c r="B234" s="452"/>
      <c r="C234" s="401"/>
      <c r="D234" s="390"/>
      <c r="E234" s="391"/>
      <c r="F234" s="479"/>
      <c r="G234" s="391"/>
      <c r="H234" s="479"/>
      <c r="I234" s="45">
        <f t="shared" si="26"/>
        <v>0</v>
      </c>
      <c r="J234" s="334" t="str">
        <f t="shared" si="27"/>
        <v/>
      </c>
      <c r="K234" s="402"/>
      <c r="L234" s="49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</row>
    <row r="235" spans="1:23" ht="11.25" customHeight="1">
      <c r="A235" s="414" t="str">
        <f>'Org structure'!E61</f>
        <v>6.4 - Cemetries</v>
      </c>
      <c r="B235" s="452"/>
      <c r="C235" s="401"/>
      <c r="D235" s="390"/>
      <c r="E235" s="391"/>
      <c r="F235" s="479"/>
      <c r="G235" s="391"/>
      <c r="H235" s="479"/>
      <c r="I235" s="45">
        <f t="shared" si="26"/>
        <v>0</v>
      </c>
      <c r="J235" s="334" t="str">
        <f t="shared" si="27"/>
        <v/>
      </c>
      <c r="K235" s="402"/>
      <c r="L235" s="49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</row>
    <row r="236" spans="1:23" ht="11.25" customHeight="1">
      <c r="A236" s="414" t="str">
        <f>'Org structure'!E62</f>
        <v>6.5 - Director Community</v>
      </c>
      <c r="B236" s="452"/>
      <c r="C236" s="401"/>
      <c r="D236" s="390"/>
      <c r="E236" s="391"/>
      <c r="F236" s="479"/>
      <c r="G236" s="391"/>
      <c r="H236" s="479"/>
      <c r="I236" s="45">
        <f t="shared" si="26"/>
        <v>0</v>
      </c>
      <c r="J236" s="334" t="str">
        <f t="shared" si="27"/>
        <v/>
      </c>
      <c r="K236" s="402"/>
      <c r="L236" s="49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</row>
    <row r="237" spans="1:23" ht="11.25" customHeight="1">
      <c r="A237" s="414">
        <f>'Org structure'!E63</f>
        <v>0</v>
      </c>
      <c r="B237" s="452"/>
      <c r="C237" s="401"/>
      <c r="D237" s="390"/>
      <c r="E237" s="391"/>
      <c r="F237" s="479"/>
      <c r="G237" s="391"/>
      <c r="H237" s="479"/>
      <c r="I237" s="45">
        <f t="shared" si="26"/>
        <v>0</v>
      </c>
      <c r="J237" s="334" t="str">
        <f t="shared" si="27"/>
        <v/>
      </c>
      <c r="K237" s="402"/>
      <c r="L237" s="49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</row>
    <row r="238" spans="1:23" ht="11.25" customHeight="1">
      <c r="A238" s="414">
        <f>'Org structure'!E64</f>
        <v>0</v>
      </c>
      <c r="B238" s="452"/>
      <c r="C238" s="401"/>
      <c r="D238" s="390"/>
      <c r="E238" s="391"/>
      <c r="F238" s="479"/>
      <c r="G238" s="391"/>
      <c r="H238" s="479"/>
      <c r="I238" s="45">
        <f t="shared" si="26"/>
        <v>0</v>
      </c>
      <c r="J238" s="334" t="str">
        <f t="shared" si="27"/>
        <v/>
      </c>
      <c r="K238" s="402"/>
      <c r="L238" s="49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</row>
    <row r="239" spans="1:23" ht="11.25" customHeight="1">
      <c r="A239" s="414">
        <f>'Org structure'!E65</f>
        <v>0</v>
      </c>
      <c r="B239" s="452"/>
      <c r="C239" s="401"/>
      <c r="D239" s="390"/>
      <c r="E239" s="391"/>
      <c r="F239" s="479"/>
      <c r="G239" s="391"/>
      <c r="H239" s="479"/>
      <c r="I239" s="45">
        <f t="shared" si="26"/>
        <v>0</v>
      </c>
      <c r="J239" s="334" t="str">
        <f t="shared" si="27"/>
        <v/>
      </c>
      <c r="K239" s="402"/>
      <c r="L239" s="49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</row>
    <row r="240" spans="1:23" ht="11.25" customHeight="1">
      <c r="A240" s="414">
        <f>'Org structure'!E66</f>
        <v>0</v>
      </c>
      <c r="B240" s="452"/>
      <c r="C240" s="401"/>
      <c r="D240" s="390"/>
      <c r="E240" s="391"/>
      <c r="F240" s="479"/>
      <c r="G240" s="391"/>
      <c r="H240" s="479"/>
      <c r="I240" s="45">
        <f t="shared" si="26"/>
        <v>0</v>
      </c>
      <c r="J240" s="334" t="str">
        <f t="shared" si="27"/>
        <v/>
      </c>
      <c r="K240" s="402"/>
      <c r="L240" s="49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</row>
    <row r="241" spans="1:23" ht="11.25" customHeight="1">
      <c r="A241" s="414">
        <f>'Org structure'!E67</f>
        <v>0</v>
      </c>
      <c r="B241" s="452"/>
      <c r="C241" s="401"/>
      <c r="D241" s="390"/>
      <c r="E241" s="391"/>
      <c r="F241" s="479"/>
      <c r="G241" s="391"/>
      <c r="H241" s="479"/>
      <c r="I241" s="45">
        <f t="shared" si="26"/>
        <v>0</v>
      </c>
      <c r="J241" s="334" t="str">
        <f t="shared" si="27"/>
        <v/>
      </c>
      <c r="K241" s="402"/>
      <c r="L241" s="49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</row>
    <row r="242" spans="1:23" ht="11.25" customHeight="1">
      <c r="A242" s="473" t="str">
        <f>'Org structure'!A8</f>
        <v>Vote 7 - Public Safety</v>
      </c>
      <c r="B242" s="447"/>
      <c r="C242" s="510">
        <f t="shared" ref="C242:K242" si="31">SUM(C243:C252)</f>
        <v>0</v>
      </c>
      <c r="D242" s="451">
        <f t="shared" si="31"/>
        <v>0</v>
      </c>
      <c r="E242" s="448">
        <f t="shared" si="31"/>
        <v>0</v>
      </c>
      <c r="F242" s="450">
        <f t="shared" si="31"/>
        <v>0</v>
      </c>
      <c r="G242" s="448">
        <f t="shared" si="31"/>
        <v>0</v>
      </c>
      <c r="H242" s="450">
        <f t="shared" si="31"/>
        <v>0</v>
      </c>
      <c r="I242" s="45">
        <f t="shared" si="26"/>
        <v>0</v>
      </c>
      <c r="J242" s="334" t="str">
        <f t="shared" si="27"/>
        <v/>
      </c>
      <c r="K242" s="449">
        <f t="shared" si="31"/>
        <v>0</v>
      </c>
      <c r="L242" s="49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</row>
    <row r="243" spans="1:23" ht="11.25" customHeight="1">
      <c r="A243" s="414" t="str">
        <f>'Org structure'!E69</f>
        <v>7.1 - Disaster Management</v>
      </c>
      <c r="B243" s="452"/>
      <c r="C243" s="401"/>
      <c r="D243" s="390"/>
      <c r="E243" s="391"/>
      <c r="F243" s="479"/>
      <c r="G243" s="391"/>
      <c r="H243" s="479"/>
      <c r="I243" s="45">
        <f t="shared" si="26"/>
        <v>0</v>
      </c>
      <c r="J243" s="334" t="str">
        <f t="shared" si="27"/>
        <v/>
      </c>
      <c r="K243" s="402"/>
      <c r="L243" s="49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</row>
    <row r="244" spans="1:23" ht="11.25" customHeight="1">
      <c r="A244" s="414" t="str">
        <f>'Org structure'!E70</f>
        <v>7.2 - Traffic Control</v>
      </c>
      <c r="B244" s="452"/>
      <c r="C244" s="401"/>
      <c r="D244" s="390"/>
      <c r="E244" s="391"/>
      <c r="F244" s="479"/>
      <c r="G244" s="391"/>
      <c r="H244" s="479"/>
      <c r="I244" s="45">
        <f t="shared" si="26"/>
        <v>0</v>
      </c>
      <c r="J244" s="334" t="str">
        <f t="shared" si="27"/>
        <v/>
      </c>
      <c r="K244" s="402"/>
      <c r="L244" s="49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</row>
    <row r="245" spans="1:23" ht="11.25" customHeight="1">
      <c r="A245" s="414" t="str">
        <f>'Org structure'!E71</f>
        <v>7.3 - Fire Protection</v>
      </c>
      <c r="B245" s="452"/>
      <c r="C245" s="401"/>
      <c r="D245" s="390"/>
      <c r="E245" s="391"/>
      <c r="F245" s="479"/>
      <c r="G245" s="391"/>
      <c r="H245" s="479"/>
      <c r="I245" s="45">
        <f t="shared" si="26"/>
        <v>0</v>
      </c>
      <c r="J245" s="334" t="str">
        <f t="shared" si="27"/>
        <v/>
      </c>
      <c r="K245" s="402"/>
      <c r="L245" s="49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</row>
    <row r="246" spans="1:23" ht="11.25" customHeight="1">
      <c r="A246" s="414" t="str">
        <f>'Org structure'!E72</f>
        <v>7.4 - Public Safety &amp; Transport</v>
      </c>
      <c r="B246" s="452"/>
      <c r="C246" s="401"/>
      <c r="D246" s="390"/>
      <c r="E246" s="391"/>
      <c r="F246" s="479"/>
      <c r="G246" s="391"/>
      <c r="H246" s="479"/>
      <c r="I246" s="45">
        <f t="shared" si="26"/>
        <v>0</v>
      </c>
      <c r="J246" s="334" t="str">
        <f t="shared" si="27"/>
        <v/>
      </c>
      <c r="K246" s="402"/>
      <c r="L246" s="49"/>
      <c r="M246" s="480"/>
      <c r="N246" s="480"/>
      <c r="O246" s="480"/>
      <c r="P246" s="480"/>
      <c r="Q246" s="480"/>
      <c r="R246" s="480"/>
      <c r="S246" s="480"/>
      <c r="T246" s="480"/>
      <c r="U246" s="480"/>
      <c r="V246" s="480"/>
      <c r="W246" s="480"/>
    </row>
    <row r="247" spans="1:23" ht="11.25" customHeight="1">
      <c r="A247" s="414" t="str">
        <f>'Org structure'!E73</f>
        <v>7.5 - Security Guards</v>
      </c>
      <c r="B247" s="452"/>
      <c r="C247" s="401"/>
      <c r="D247" s="390"/>
      <c r="E247" s="391"/>
      <c r="F247" s="479"/>
      <c r="G247" s="391"/>
      <c r="H247" s="479"/>
      <c r="I247" s="45">
        <f t="shared" si="26"/>
        <v>0</v>
      </c>
      <c r="J247" s="334" t="str">
        <f t="shared" si="27"/>
        <v/>
      </c>
      <c r="K247" s="402"/>
      <c r="L247" s="49"/>
      <c r="M247" s="480"/>
      <c r="N247" s="480"/>
      <c r="O247" s="480"/>
      <c r="P247" s="480"/>
      <c r="Q247" s="480"/>
      <c r="R247" s="480"/>
      <c r="S247" s="480"/>
      <c r="T247" s="480"/>
      <c r="U247" s="480"/>
      <c r="V247" s="480"/>
      <c r="W247" s="480"/>
    </row>
    <row r="248" spans="1:23" ht="11.25" customHeight="1">
      <c r="A248" s="414" t="str">
        <f>'Org structure'!E74</f>
        <v>7.6 - Director Public Safety</v>
      </c>
      <c r="B248" s="452"/>
      <c r="C248" s="401"/>
      <c r="D248" s="390"/>
      <c r="E248" s="391"/>
      <c r="F248" s="479"/>
      <c r="G248" s="391"/>
      <c r="H248" s="479"/>
      <c r="I248" s="45">
        <f t="shared" si="26"/>
        <v>0</v>
      </c>
      <c r="J248" s="334" t="str">
        <f t="shared" si="27"/>
        <v/>
      </c>
      <c r="K248" s="402"/>
      <c r="L248" s="49"/>
      <c r="M248" s="480"/>
      <c r="N248" s="480"/>
      <c r="O248" s="480"/>
      <c r="P248" s="480"/>
      <c r="Q248" s="480"/>
      <c r="R248" s="480"/>
      <c r="S248" s="480"/>
      <c r="T248" s="480"/>
      <c r="U248" s="480"/>
      <c r="V248" s="480"/>
      <c r="W248" s="480"/>
    </row>
    <row r="249" spans="1:23" ht="11.25" customHeight="1">
      <c r="A249" s="414" t="str">
        <f>'Org structure'!E75</f>
        <v>7.7 - Roads and stormwater</v>
      </c>
      <c r="B249" s="452"/>
      <c r="C249" s="401"/>
      <c r="D249" s="390"/>
      <c r="E249" s="391"/>
      <c r="F249" s="479"/>
      <c r="G249" s="391"/>
      <c r="H249" s="479"/>
      <c r="I249" s="45">
        <f t="shared" si="26"/>
        <v>0</v>
      </c>
      <c r="J249" s="334" t="str">
        <f t="shared" si="27"/>
        <v/>
      </c>
      <c r="K249" s="402"/>
      <c r="L249" s="49"/>
      <c r="M249" s="480"/>
      <c r="N249" s="480"/>
      <c r="O249" s="480"/>
      <c r="P249" s="480"/>
      <c r="Q249" s="480"/>
      <c r="R249" s="480"/>
      <c r="S249" s="480"/>
      <c r="T249" s="480"/>
      <c r="U249" s="480"/>
      <c r="V249" s="480"/>
      <c r="W249" s="480"/>
    </row>
    <row r="250" spans="1:23" ht="11.25" customHeight="1">
      <c r="A250" s="414">
        <f>'Org structure'!E76</f>
        <v>0</v>
      </c>
      <c r="B250" s="452"/>
      <c r="C250" s="401"/>
      <c r="D250" s="390"/>
      <c r="E250" s="391"/>
      <c r="F250" s="479"/>
      <c r="G250" s="391"/>
      <c r="H250" s="479"/>
      <c r="I250" s="45">
        <f t="shared" si="26"/>
        <v>0</v>
      </c>
      <c r="J250" s="334" t="str">
        <f t="shared" si="27"/>
        <v/>
      </c>
      <c r="K250" s="402"/>
      <c r="L250" s="49"/>
      <c r="M250" s="480"/>
      <c r="N250" s="480"/>
      <c r="O250" s="480"/>
      <c r="P250" s="480"/>
      <c r="Q250" s="480"/>
      <c r="R250" s="480"/>
      <c r="S250" s="480"/>
      <c r="T250" s="480"/>
      <c r="U250" s="480"/>
      <c r="V250" s="480"/>
      <c r="W250" s="480"/>
    </row>
    <row r="251" spans="1:23" ht="11.25" customHeight="1">
      <c r="A251" s="414">
        <f>'Org structure'!E77</f>
        <v>0</v>
      </c>
      <c r="B251" s="452"/>
      <c r="C251" s="401"/>
      <c r="D251" s="390"/>
      <c r="E251" s="391"/>
      <c r="F251" s="479"/>
      <c r="G251" s="391"/>
      <c r="H251" s="479"/>
      <c r="I251" s="45">
        <f t="shared" si="26"/>
        <v>0</v>
      </c>
      <c r="J251" s="334" t="str">
        <f t="shared" si="27"/>
        <v/>
      </c>
      <c r="K251" s="402"/>
      <c r="L251" s="49"/>
      <c r="M251" s="480"/>
      <c r="N251" s="480"/>
      <c r="O251" s="480"/>
      <c r="P251" s="480"/>
      <c r="Q251" s="480"/>
      <c r="R251" s="480"/>
      <c r="S251" s="480"/>
      <c r="T251" s="480"/>
      <c r="U251" s="480"/>
      <c r="V251" s="480"/>
      <c r="W251" s="480"/>
    </row>
    <row r="252" spans="1:23" ht="11.25" customHeight="1">
      <c r="A252" s="414">
        <f>'Org structure'!E78</f>
        <v>0</v>
      </c>
      <c r="B252" s="452"/>
      <c r="C252" s="401"/>
      <c r="D252" s="390"/>
      <c r="E252" s="391"/>
      <c r="F252" s="479"/>
      <c r="G252" s="391"/>
      <c r="H252" s="479"/>
      <c r="I252" s="45">
        <f t="shared" si="26"/>
        <v>0</v>
      </c>
      <c r="J252" s="334" t="str">
        <f t="shared" si="27"/>
        <v/>
      </c>
      <c r="K252" s="402"/>
      <c r="L252" s="49"/>
      <c r="M252" s="480"/>
      <c r="N252" s="480"/>
      <c r="O252" s="480"/>
      <c r="P252" s="480"/>
      <c r="Q252" s="480"/>
      <c r="R252" s="480"/>
      <c r="S252" s="480"/>
      <c r="T252" s="480"/>
      <c r="U252" s="480"/>
      <c r="V252" s="480"/>
      <c r="W252" s="480"/>
    </row>
    <row r="253" spans="1:23" ht="11.25" customHeight="1">
      <c r="A253" s="473" t="str">
        <f>'Org structure'!A9</f>
        <v>Vote 8 - Parks, Sports &amp; Recreation</v>
      </c>
      <c r="B253" s="452"/>
      <c r="C253" s="510">
        <f t="shared" ref="C253:K253" si="32">SUM(C254:C263)</f>
        <v>0</v>
      </c>
      <c r="D253" s="451">
        <f t="shared" si="32"/>
        <v>0</v>
      </c>
      <c r="E253" s="448">
        <f t="shared" si="32"/>
        <v>0</v>
      </c>
      <c r="F253" s="450">
        <f t="shared" si="32"/>
        <v>0</v>
      </c>
      <c r="G253" s="448">
        <f t="shared" si="32"/>
        <v>0</v>
      </c>
      <c r="H253" s="450">
        <f t="shared" si="32"/>
        <v>0</v>
      </c>
      <c r="I253" s="45">
        <f t="shared" si="26"/>
        <v>0</v>
      </c>
      <c r="J253" s="334" t="str">
        <f t="shared" si="27"/>
        <v/>
      </c>
      <c r="K253" s="449">
        <f t="shared" si="32"/>
        <v>0</v>
      </c>
      <c r="L253" s="49"/>
      <c r="M253" s="480"/>
      <c r="N253" s="480"/>
      <c r="O253" s="480"/>
      <c r="P253" s="480"/>
      <c r="Q253" s="480"/>
      <c r="R253" s="480"/>
      <c r="S253" s="480"/>
      <c r="T253" s="480"/>
      <c r="U253" s="480"/>
      <c r="V253" s="480"/>
      <c r="W253" s="480"/>
    </row>
    <row r="254" spans="1:23" ht="11.25" customHeight="1">
      <c r="A254" s="414" t="str">
        <f>'Org structure'!E80</f>
        <v>8.1 - Administration</v>
      </c>
      <c r="B254" s="452"/>
      <c r="C254" s="401"/>
      <c r="D254" s="390"/>
      <c r="E254" s="391"/>
      <c r="F254" s="479"/>
      <c r="G254" s="391"/>
      <c r="H254" s="479"/>
      <c r="I254" s="45">
        <f t="shared" si="26"/>
        <v>0</v>
      </c>
      <c r="J254" s="334" t="str">
        <f t="shared" si="27"/>
        <v/>
      </c>
      <c r="K254" s="402"/>
      <c r="L254" s="49"/>
      <c r="M254" s="480"/>
      <c r="N254" s="480"/>
      <c r="O254" s="480"/>
      <c r="P254" s="480"/>
      <c r="Q254" s="480"/>
      <c r="R254" s="480"/>
      <c r="S254" s="480"/>
      <c r="T254" s="480"/>
      <c r="U254" s="480"/>
      <c r="V254" s="480"/>
      <c r="W254" s="480"/>
    </row>
    <row r="255" spans="1:23" ht="11.25" customHeight="1">
      <c r="A255" s="414" t="str">
        <f>'Org structure'!E81</f>
        <v>8.2 - Director Parks</v>
      </c>
      <c r="B255" s="452"/>
      <c r="C255" s="401"/>
      <c r="D255" s="390"/>
      <c r="E255" s="391"/>
      <c r="F255" s="479"/>
      <c r="G255" s="391"/>
      <c r="H255" s="479"/>
      <c r="I255" s="45">
        <f t="shared" si="26"/>
        <v>0</v>
      </c>
      <c r="J255" s="334" t="str">
        <f t="shared" si="27"/>
        <v/>
      </c>
      <c r="K255" s="402"/>
      <c r="L255" s="49"/>
      <c r="M255" s="480"/>
      <c r="N255" s="480"/>
      <c r="O255" s="480"/>
      <c r="P255" s="480"/>
      <c r="Q255" s="480"/>
      <c r="R255" s="480"/>
      <c r="S255" s="480"/>
      <c r="T255" s="480"/>
      <c r="U255" s="480"/>
      <c r="V255" s="480"/>
      <c r="W255" s="480"/>
    </row>
    <row r="256" spans="1:23" ht="11.25" customHeight="1">
      <c r="A256" s="414">
        <f>'Org structure'!E82</f>
        <v>0</v>
      </c>
      <c r="B256" s="452"/>
      <c r="C256" s="401"/>
      <c r="D256" s="390"/>
      <c r="E256" s="391"/>
      <c r="F256" s="479"/>
      <c r="G256" s="391"/>
      <c r="H256" s="479"/>
      <c r="I256" s="45">
        <f t="shared" si="26"/>
        <v>0</v>
      </c>
      <c r="J256" s="334" t="str">
        <f t="shared" si="27"/>
        <v/>
      </c>
      <c r="K256" s="402"/>
      <c r="L256" s="49"/>
      <c r="M256" s="480"/>
      <c r="N256" s="480"/>
      <c r="O256" s="480"/>
      <c r="P256" s="480"/>
      <c r="Q256" s="480"/>
      <c r="R256" s="480"/>
      <c r="S256" s="480"/>
      <c r="T256" s="480"/>
      <c r="U256" s="480"/>
      <c r="V256" s="480"/>
      <c r="W256" s="480"/>
    </row>
    <row r="257" spans="1:23" ht="11.25" customHeight="1">
      <c r="A257" s="414">
        <f>'Org structure'!E83</f>
        <v>0</v>
      </c>
      <c r="B257" s="452"/>
      <c r="C257" s="401"/>
      <c r="D257" s="390"/>
      <c r="E257" s="391"/>
      <c r="F257" s="479"/>
      <c r="G257" s="391"/>
      <c r="H257" s="479"/>
      <c r="I257" s="45">
        <f t="shared" si="26"/>
        <v>0</v>
      </c>
      <c r="J257" s="334" t="str">
        <f t="shared" si="27"/>
        <v/>
      </c>
      <c r="K257" s="402"/>
      <c r="L257" s="49"/>
      <c r="M257" s="480"/>
      <c r="N257" s="480"/>
      <c r="O257" s="480"/>
      <c r="P257" s="480"/>
      <c r="Q257" s="480"/>
      <c r="R257" s="480"/>
      <c r="S257" s="480"/>
      <c r="T257" s="480"/>
      <c r="U257" s="480"/>
      <c r="V257" s="480"/>
      <c r="W257" s="480"/>
    </row>
    <row r="258" spans="1:23" ht="11.25" customHeight="1">
      <c r="A258" s="414">
        <f>'Org structure'!E84</f>
        <v>0</v>
      </c>
      <c r="B258" s="452"/>
      <c r="C258" s="401"/>
      <c r="D258" s="390"/>
      <c r="E258" s="391"/>
      <c r="F258" s="479"/>
      <c r="G258" s="391"/>
      <c r="H258" s="479"/>
      <c r="I258" s="45">
        <f t="shared" si="26"/>
        <v>0</v>
      </c>
      <c r="J258" s="334" t="str">
        <f t="shared" si="27"/>
        <v/>
      </c>
      <c r="K258" s="402"/>
      <c r="L258" s="49"/>
      <c r="M258" s="480"/>
      <c r="N258" s="480"/>
      <c r="O258" s="480"/>
      <c r="P258" s="480"/>
      <c r="Q258" s="480"/>
      <c r="R258" s="480"/>
      <c r="S258" s="480"/>
      <c r="T258" s="480"/>
      <c r="U258" s="480"/>
      <c r="V258" s="480"/>
      <c r="W258" s="480"/>
    </row>
    <row r="259" spans="1:23" ht="11.25" customHeight="1">
      <c r="A259" s="414">
        <f>'Org structure'!E85</f>
        <v>0</v>
      </c>
      <c r="B259" s="452"/>
      <c r="C259" s="401"/>
      <c r="D259" s="390"/>
      <c r="E259" s="391"/>
      <c r="F259" s="479"/>
      <c r="G259" s="391"/>
      <c r="H259" s="479"/>
      <c r="I259" s="45">
        <f t="shared" si="26"/>
        <v>0</v>
      </c>
      <c r="J259" s="334" t="str">
        <f t="shared" si="27"/>
        <v/>
      </c>
      <c r="K259" s="402"/>
      <c r="L259" s="49"/>
      <c r="M259" s="480"/>
      <c r="N259" s="480"/>
      <c r="O259" s="480"/>
      <c r="P259" s="480"/>
      <c r="Q259" s="480"/>
      <c r="R259" s="480"/>
      <c r="S259" s="480"/>
      <c r="T259" s="480"/>
      <c r="U259" s="480"/>
      <c r="V259" s="480"/>
      <c r="W259" s="480"/>
    </row>
    <row r="260" spans="1:23" ht="11.25" customHeight="1">
      <c r="A260" s="414">
        <f>'Org structure'!E86</f>
        <v>0</v>
      </c>
      <c r="B260" s="452"/>
      <c r="C260" s="401"/>
      <c r="D260" s="390"/>
      <c r="E260" s="391"/>
      <c r="F260" s="479"/>
      <c r="G260" s="391"/>
      <c r="H260" s="479"/>
      <c r="I260" s="45">
        <f t="shared" si="26"/>
        <v>0</v>
      </c>
      <c r="J260" s="334" t="str">
        <f t="shared" si="27"/>
        <v/>
      </c>
      <c r="K260" s="402"/>
      <c r="L260" s="49"/>
      <c r="M260" s="480"/>
      <c r="N260" s="480"/>
      <c r="O260" s="480"/>
      <c r="P260" s="480"/>
      <c r="Q260" s="480"/>
      <c r="R260" s="480"/>
      <c r="S260" s="480"/>
      <c r="T260" s="480"/>
      <c r="U260" s="480"/>
      <c r="V260" s="480"/>
      <c r="W260" s="480"/>
    </row>
    <row r="261" spans="1:23" ht="11.25" customHeight="1">
      <c r="A261" s="414">
        <f>'Org structure'!E87</f>
        <v>0</v>
      </c>
      <c r="B261" s="452"/>
      <c r="C261" s="401"/>
      <c r="D261" s="390"/>
      <c r="E261" s="391"/>
      <c r="F261" s="479"/>
      <c r="G261" s="391"/>
      <c r="H261" s="479"/>
      <c r="I261" s="45">
        <f t="shared" si="26"/>
        <v>0</v>
      </c>
      <c r="J261" s="334" t="str">
        <f t="shared" si="27"/>
        <v/>
      </c>
      <c r="K261" s="402"/>
      <c r="L261" s="49"/>
      <c r="M261" s="480"/>
      <c r="N261" s="480"/>
      <c r="O261" s="480"/>
      <c r="P261" s="480"/>
      <c r="Q261" s="480"/>
      <c r="R261" s="480"/>
      <c r="S261" s="480"/>
      <c r="T261" s="480"/>
      <c r="U261" s="480"/>
      <c r="V261" s="480"/>
      <c r="W261" s="480"/>
    </row>
    <row r="262" spans="1:23" ht="11.25" customHeight="1">
      <c r="A262" s="414">
        <f>'Org structure'!E88</f>
        <v>0</v>
      </c>
      <c r="B262" s="452"/>
      <c r="C262" s="401"/>
      <c r="D262" s="390"/>
      <c r="E262" s="391"/>
      <c r="F262" s="479"/>
      <c r="G262" s="391"/>
      <c r="H262" s="479"/>
      <c r="I262" s="45">
        <f t="shared" si="26"/>
        <v>0</v>
      </c>
      <c r="J262" s="334" t="str">
        <f t="shared" si="27"/>
        <v/>
      </c>
      <c r="K262" s="402"/>
      <c r="L262" s="49"/>
      <c r="M262" s="480"/>
      <c r="N262" s="480"/>
      <c r="O262" s="480"/>
      <c r="P262" s="480"/>
      <c r="Q262" s="480"/>
      <c r="R262" s="480"/>
      <c r="S262" s="480"/>
      <c r="T262" s="480"/>
      <c r="U262" s="480"/>
      <c r="V262" s="480"/>
      <c r="W262" s="480"/>
    </row>
    <row r="263" spans="1:23" ht="11.25" customHeight="1">
      <c r="A263" s="414">
        <f>'Org structure'!E89</f>
        <v>0</v>
      </c>
      <c r="B263" s="452"/>
      <c r="C263" s="401"/>
      <c r="D263" s="390"/>
      <c r="E263" s="391"/>
      <c r="F263" s="479"/>
      <c r="G263" s="391"/>
      <c r="H263" s="479"/>
      <c r="I263" s="45">
        <f t="shared" si="26"/>
        <v>0</v>
      </c>
      <c r="J263" s="334" t="str">
        <f t="shared" si="27"/>
        <v/>
      </c>
      <c r="K263" s="402"/>
      <c r="L263" s="49"/>
      <c r="M263" s="480"/>
      <c r="N263" s="480"/>
      <c r="O263" s="480"/>
      <c r="P263" s="480"/>
      <c r="Q263" s="480"/>
      <c r="R263" s="480"/>
      <c r="S263" s="480"/>
      <c r="T263" s="480"/>
      <c r="U263" s="480"/>
      <c r="V263" s="480"/>
      <c r="W263" s="480"/>
    </row>
    <row r="264" spans="1:23" ht="11.25" customHeight="1">
      <c r="A264" s="473" t="str">
        <f>'Org structure'!A10</f>
        <v>Vote 9 - LED &amp; Tourism</v>
      </c>
      <c r="B264" s="452"/>
      <c r="C264" s="510">
        <f t="shared" ref="C264:K264" si="33">SUM(C265:C274)</f>
        <v>0</v>
      </c>
      <c r="D264" s="451">
        <f t="shared" si="33"/>
        <v>0</v>
      </c>
      <c r="E264" s="448">
        <f t="shared" si="33"/>
        <v>0</v>
      </c>
      <c r="F264" s="450">
        <f t="shared" si="33"/>
        <v>0</v>
      </c>
      <c r="G264" s="448">
        <f t="shared" si="33"/>
        <v>0</v>
      </c>
      <c r="H264" s="450">
        <f t="shared" si="33"/>
        <v>0</v>
      </c>
      <c r="I264" s="45">
        <f t="shared" ref="I264:I327" si="34">G264-H264</f>
        <v>0</v>
      </c>
      <c r="J264" s="334" t="str">
        <f t="shared" ref="J264:J327" si="35">IF(I264=0,"",I264/H264)</f>
        <v/>
      </c>
      <c r="K264" s="449">
        <f t="shared" si="33"/>
        <v>0</v>
      </c>
      <c r="L264" s="49"/>
      <c r="M264" s="480"/>
      <c r="N264" s="480"/>
      <c r="O264" s="480"/>
      <c r="P264" s="480"/>
      <c r="Q264" s="480"/>
      <c r="R264" s="480"/>
      <c r="S264" s="480"/>
      <c r="T264" s="480"/>
      <c r="U264" s="480"/>
      <c r="V264" s="480"/>
      <c r="W264" s="480"/>
    </row>
    <row r="265" spans="1:23" ht="11.25" customHeight="1">
      <c r="A265" s="414" t="str">
        <f>'Org structure'!E91</f>
        <v>9.1 - Administration</v>
      </c>
      <c r="B265" s="452"/>
      <c r="C265" s="401"/>
      <c r="D265" s="390"/>
      <c r="E265" s="391"/>
      <c r="F265" s="479"/>
      <c r="G265" s="391"/>
      <c r="H265" s="479"/>
      <c r="I265" s="45">
        <f t="shared" si="34"/>
        <v>0</v>
      </c>
      <c r="J265" s="334" t="str">
        <f t="shared" si="35"/>
        <v/>
      </c>
      <c r="K265" s="402"/>
      <c r="L265" s="49"/>
      <c r="M265" s="480"/>
      <c r="N265" s="480"/>
      <c r="O265" s="480"/>
      <c r="P265" s="480"/>
      <c r="Q265" s="480"/>
      <c r="R265" s="480"/>
      <c r="S265" s="480"/>
      <c r="T265" s="480"/>
      <c r="U265" s="480"/>
      <c r="V265" s="480"/>
      <c r="W265" s="480"/>
    </row>
    <row r="266" spans="1:23" ht="11.25" customHeight="1">
      <c r="A266" s="414" t="str">
        <f>'Org structure'!E92</f>
        <v>9.2 - Local Economic Development</v>
      </c>
      <c r="B266" s="452"/>
      <c r="C266" s="401"/>
      <c r="D266" s="390"/>
      <c r="E266" s="391"/>
      <c r="F266" s="479"/>
      <c r="G266" s="391"/>
      <c r="H266" s="479"/>
      <c r="I266" s="45">
        <f t="shared" si="34"/>
        <v>0</v>
      </c>
      <c r="J266" s="334" t="str">
        <f t="shared" si="35"/>
        <v/>
      </c>
      <c r="K266" s="402"/>
      <c r="L266" s="49"/>
      <c r="M266" s="480"/>
      <c r="N266" s="480"/>
      <c r="O266" s="480"/>
      <c r="P266" s="480"/>
      <c r="Q266" s="480"/>
      <c r="R266" s="480"/>
      <c r="S266" s="480"/>
      <c r="T266" s="480"/>
      <c r="U266" s="480"/>
      <c r="V266" s="480"/>
      <c r="W266" s="480"/>
    </row>
    <row r="267" spans="1:23" ht="11.25" customHeight="1">
      <c r="A267" s="414" t="str">
        <f>'Org structure'!E93</f>
        <v>9.3 - Tourism</v>
      </c>
      <c r="B267" s="452"/>
      <c r="C267" s="401"/>
      <c r="D267" s="390"/>
      <c r="E267" s="391"/>
      <c r="F267" s="479"/>
      <c r="G267" s="391"/>
      <c r="H267" s="479"/>
      <c r="I267" s="45">
        <f t="shared" si="34"/>
        <v>0</v>
      </c>
      <c r="J267" s="334" t="str">
        <f t="shared" si="35"/>
        <v/>
      </c>
      <c r="K267" s="402"/>
      <c r="L267" s="49"/>
      <c r="M267" s="480"/>
      <c r="N267" s="480"/>
      <c r="O267" s="480"/>
      <c r="P267" s="480"/>
      <c r="Q267" s="480"/>
      <c r="R267" s="480"/>
      <c r="S267" s="480"/>
      <c r="T267" s="480"/>
      <c r="U267" s="480"/>
      <c r="V267" s="480"/>
      <c r="W267" s="480"/>
    </row>
    <row r="268" spans="1:23" ht="11.25" customHeight="1">
      <c r="A268" s="414" t="str">
        <f>'Org structure'!E94</f>
        <v>9.4 - Director LED</v>
      </c>
      <c r="B268" s="452"/>
      <c r="C268" s="401"/>
      <c r="D268" s="390"/>
      <c r="E268" s="391"/>
      <c r="F268" s="479"/>
      <c r="G268" s="391"/>
      <c r="H268" s="479"/>
      <c r="I268" s="45">
        <f t="shared" si="34"/>
        <v>0</v>
      </c>
      <c r="J268" s="334" t="str">
        <f t="shared" si="35"/>
        <v/>
      </c>
      <c r="K268" s="402"/>
      <c r="L268" s="49"/>
      <c r="M268" s="480"/>
      <c r="N268" s="480"/>
      <c r="O268" s="480"/>
      <c r="P268" s="480"/>
      <c r="Q268" s="480"/>
      <c r="R268" s="480"/>
      <c r="S268" s="480"/>
      <c r="T268" s="480"/>
      <c r="U268" s="480"/>
      <c r="V268" s="480"/>
      <c r="W268" s="480"/>
    </row>
    <row r="269" spans="1:23" ht="11.25" customHeight="1">
      <c r="A269" s="414">
        <f>'Org structure'!E95</f>
        <v>0</v>
      </c>
      <c r="B269" s="452"/>
      <c r="C269" s="401"/>
      <c r="D269" s="390"/>
      <c r="E269" s="391"/>
      <c r="F269" s="479"/>
      <c r="G269" s="391"/>
      <c r="H269" s="479"/>
      <c r="I269" s="45">
        <f t="shared" si="34"/>
        <v>0</v>
      </c>
      <c r="J269" s="334" t="str">
        <f t="shared" si="35"/>
        <v/>
      </c>
      <c r="K269" s="402"/>
      <c r="L269" s="49"/>
      <c r="M269" s="480"/>
      <c r="N269" s="480"/>
      <c r="O269" s="480"/>
      <c r="P269" s="480"/>
      <c r="Q269" s="480"/>
      <c r="R269" s="480"/>
      <c r="S269" s="480"/>
      <c r="T269" s="480"/>
      <c r="U269" s="480"/>
      <c r="V269" s="480"/>
      <c r="W269" s="480"/>
    </row>
    <row r="270" spans="1:23" ht="11.25" customHeight="1">
      <c r="A270" s="414">
        <f>'Org structure'!E96</f>
        <v>0</v>
      </c>
      <c r="B270" s="452"/>
      <c r="C270" s="401"/>
      <c r="D270" s="390"/>
      <c r="E270" s="391"/>
      <c r="F270" s="479"/>
      <c r="G270" s="391"/>
      <c r="H270" s="479"/>
      <c r="I270" s="45">
        <f t="shared" si="34"/>
        <v>0</v>
      </c>
      <c r="J270" s="334" t="str">
        <f t="shared" si="35"/>
        <v/>
      </c>
      <c r="K270" s="402"/>
      <c r="L270" s="49"/>
      <c r="M270" s="480"/>
      <c r="N270" s="480"/>
      <c r="O270" s="480"/>
      <c r="P270" s="480"/>
      <c r="Q270" s="480"/>
      <c r="R270" s="480"/>
      <c r="S270" s="480"/>
      <c r="T270" s="480"/>
      <c r="U270" s="480"/>
      <c r="V270" s="480"/>
      <c r="W270" s="480"/>
    </row>
    <row r="271" spans="1:23" ht="11.25" customHeight="1">
      <c r="A271" s="414">
        <f>'Org structure'!E97</f>
        <v>0</v>
      </c>
      <c r="B271" s="452"/>
      <c r="C271" s="401"/>
      <c r="D271" s="390"/>
      <c r="E271" s="391"/>
      <c r="F271" s="479"/>
      <c r="G271" s="391"/>
      <c r="H271" s="479"/>
      <c r="I271" s="45">
        <f t="shared" si="34"/>
        <v>0</v>
      </c>
      <c r="J271" s="334" t="str">
        <f t="shared" si="35"/>
        <v/>
      </c>
      <c r="K271" s="402"/>
      <c r="L271" s="49"/>
      <c r="M271" s="480"/>
      <c r="N271" s="480"/>
      <c r="O271" s="480"/>
      <c r="P271" s="480"/>
      <c r="Q271" s="480"/>
      <c r="R271" s="480"/>
      <c r="S271" s="480"/>
      <c r="T271" s="480"/>
      <c r="U271" s="480"/>
      <c r="V271" s="480"/>
      <c r="W271" s="480"/>
    </row>
    <row r="272" spans="1:23" ht="11.25" customHeight="1">
      <c r="A272" s="414">
        <f>'Org structure'!E98</f>
        <v>0</v>
      </c>
      <c r="B272" s="452"/>
      <c r="C272" s="401"/>
      <c r="D272" s="390"/>
      <c r="E272" s="391"/>
      <c r="F272" s="479"/>
      <c r="G272" s="391"/>
      <c r="H272" s="479"/>
      <c r="I272" s="45">
        <f t="shared" si="34"/>
        <v>0</v>
      </c>
      <c r="J272" s="334" t="str">
        <f t="shared" si="35"/>
        <v/>
      </c>
      <c r="K272" s="402"/>
      <c r="L272" s="49"/>
      <c r="M272" s="480"/>
      <c r="N272" s="480"/>
      <c r="O272" s="480"/>
      <c r="P272" s="480"/>
      <c r="Q272" s="480"/>
      <c r="R272" s="480"/>
      <c r="S272" s="480"/>
      <c r="T272" s="480"/>
      <c r="U272" s="480"/>
      <c r="V272" s="480"/>
      <c r="W272" s="480"/>
    </row>
    <row r="273" spans="1:23" ht="11.25" customHeight="1">
      <c r="A273" s="414">
        <f>'Org structure'!E99</f>
        <v>0</v>
      </c>
      <c r="B273" s="452"/>
      <c r="C273" s="401"/>
      <c r="D273" s="390"/>
      <c r="E273" s="391"/>
      <c r="F273" s="479"/>
      <c r="G273" s="391"/>
      <c r="H273" s="479"/>
      <c r="I273" s="45">
        <f t="shared" si="34"/>
        <v>0</v>
      </c>
      <c r="J273" s="334" t="str">
        <f t="shared" si="35"/>
        <v/>
      </c>
      <c r="K273" s="402"/>
      <c r="L273" s="49"/>
      <c r="M273" s="480"/>
      <c r="N273" s="480"/>
      <c r="O273" s="480"/>
      <c r="P273" s="480"/>
      <c r="Q273" s="480"/>
      <c r="R273" s="480"/>
      <c r="S273" s="480"/>
      <c r="T273" s="480"/>
      <c r="U273" s="480"/>
      <c r="V273" s="480"/>
      <c r="W273" s="480"/>
    </row>
    <row r="274" spans="1:23" ht="11.25" customHeight="1">
      <c r="A274" s="414">
        <f>'Org structure'!E100</f>
        <v>0</v>
      </c>
      <c r="B274" s="452"/>
      <c r="C274" s="401"/>
      <c r="D274" s="390"/>
      <c r="E274" s="391"/>
      <c r="F274" s="479"/>
      <c r="G274" s="391"/>
      <c r="H274" s="479"/>
      <c r="I274" s="45">
        <f t="shared" si="34"/>
        <v>0</v>
      </c>
      <c r="J274" s="334" t="str">
        <f t="shared" si="35"/>
        <v/>
      </c>
      <c r="K274" s="402"/>
      <c r="L274" s="49"/>
      <c r="M274" s="480"/>
      <c r="N274" s="480"/>
      <c r="O274" s="480"/>
      <c r="P274" s="480"/>
      <c r="Q274" s="480"/>
      <c r="R274" s="480"/>
      <c r="S274" s="480"/>
      <c r="T274" s="480"/>
      <c r="U274" s="480"/>
      <c r="V274" s="480"/>
      <c r="W274" s="480"/>
    </row>
    <row r="275" spans="1:23" ht="11.25" customHeight="1">
      <c r="A275" s="473" t="str">
        <f>'Org structure'!A11</f>
        <v>Vote 10 - Housing Spatial Development &amp; Planning</v>
      </c>
      <c r="B275" s="452"/>
      <c r="C275" s="510">
        <f t="shared" ref="C275:K275" si="36">SUM(C276:C285)</f>
        <v>0</v>
      </c>
      <c r="D275" s="451">
        <f t="shared" si="36"/>
        <v>23000000</v>
      </c>
      <c r="E275" s="448">
        <f t="shared" si="36"/>
        <v>0</v>
      </c>
      <c r="F275" s="450">
        <f t="shared" si="36"/>
        <v>0</v>
      </c>
      <c r="G275" s="448">
        <f t="shared" si="36"/>
        <v>995295.62999999989</v>
      </c>
      <c r="H275" s="450">
        <f t="shared" si="36"/>
        <v>23000000</v>
      </c>
      <c r="I275" s="45">
        <f t="shared" si="34"/>
        <v>-22004704.370000001</v>
      </c>
      <c r="J275" s="334">
        <f t="shared" si="35"/>
        <v>-0.95672627695652179</v>
      </c>
      <c r="K275" s="449">
        <f t="shared" si="36"/>
        <v>23000000</v>
      </c>
      <c r="L275" s="49"/>
      <c r="M275" s="480"/>
      <c r="N275" s="480"/>
      <c r="O275" s="480"/>
      <c r="P275" s="480"/>
      <c r="Q275" s="480"/>
      <c r="R275" s="480"/>
      <c r="S275" s="480"/>
      <c r="T275" s="480"/>
      <c r="U275" s="480"/>
      <c r="V275" s="480"/>
      <c r="W275" s="480"/>
    </row>
    <row r="276" spans="1:23" ht="11.25" customHeight="1">
      <c r="A276" s="414" t="str">
        <f>'Org structure'!E102</f>
        <v>10.1 - Housing Services</v>
      </c>
      <c r="B276" s="452"/>
      <c r="C276" s="401"/>
      <c r="D276" s="390"/>
      <c r="E276" s="391"/>
      <c r="F276" s="479"/>
      <c r="G276" s="391"/>
      <c r="H276" s="390"/>
      <c r="I276" s="45">
        <f t="shared" si="34"/>
        <v>0</v>
      </c>
      <c r="J276" s="334" t="str">
        <f t="shared" si="35"/>
        <v/>
      </c>
      <c r="K276" s="390"/>
      <c r="L276" s="49"/>
      <c r="M276" s="480"/>
      <c r="N276" s="480"/>
      <c r="O276" s="480"/>
      <c r="P276" s="480"/>
      <c r="Q276" s="480"/>
      <c r="R276" s="480"/>
      <c r="S276" s="480"/>
      <c r="T276" s="480"/>
      <c r="U276" s="480"/>
      <c r="V276" s="480"/>
      <c r="W276" s="480"/>
    </row>
    <row r="277" spans="1:23" ht="11.25" customHeight="1">
      <c r="A277" s="414" t="str">
        <f>'Org structure'!E103</f>
        <v>10.2 - Council Building &amp; Estates</v>
      </c>
      <c r="B277" s="452"/>
      <c r="C277" s="401"/>
      <c r="D277" s="390"/>
      <c r="E277" s="391"/>
      <c r="F277" s="479"/>
      <c r="G277" s="391"/>
      <c r="H277" s="390"/>
      <c r="I277" s="45">
        <f t="shared" si="34"/>
        <v>0</v>
      </c>
      <c r="J277" s="334" t="str">
        <f t="shared" si="35"/>
        <v/>
      </c>
      <c r="K277" s="390"/>
      <c r="L277" s="49"/>
      <c r="M277" s="480"/>
      <c r="N277" s="480"/>
      <c r="O277" s="480"/>
      <c r="P277" s="480"/>
      <c r="Q277" s="480"/>
      <c r="R277" s="480"/>
      <c r="S277" s="480"/>
      <c r="T277" s="480"/>
      <c r="U277" s="480"/>
      <c r="V277" s="480"/>
      <c r="W277" s="480"/>
    </row>
    <row r="278" spans="1:23" ht="11.25" customHeight="1">
      <c r="A278" s="414" t="str">
        <f>'Org structure'!E104</f>
        <v>10.3 - Town Planning</v>
      </c>
      <c r="B278" s="452"/>
      <c r="C278" s="401"/>
      <c r="D278" s="390"/>
      <c r="E278" s="391"/>
      <c r="F278" s="479"/>
      <c r="G278" s="391"/>
      <c r="H278" s="390"/>
      <c r="I278" s="45">
        <f t="shared" si="34"/>
        <v>0</v>
      </c>
      <c r="J278" s="334" t="str">
        <f t="shared" si="35"/>
        <v/>
      </c>
      <c r="K278" s="390"/>
      <c r="L278" s="49"/>
      <c r="M278" s="480"/>
      <c r="N278" s="480"/>
      <c r="O278" s="480"/>
      <c r="P278" s="480"/>
      <c r="Q278" s="480"/>
      <c r="R278" s="480"/>
      <c r="S278" s="480"/>
      <c r="T278" s="480"/>
      <c r="U278" s="480"/>
      <c r="V278" s="480"/>
      <c r="W278" s="480"/>
    </row>
    <row r="279" spans="1:23" ht="11.25" customHeight="1">
      <c r="A279" s="414" t="str">
        <f>'Org structure'!E105</f>
        <v>10.4 - Building Inspections</v>
      </c>
      <c r="B279" s="452"/>
      <c r="C279" s="401"/>
      <c r="D279" s="390"/>
      <c r="E279" s="391"/>
      <c r="F279" s="479"/>
      <c r="G279" s="391"/>
      <c r="H279" s="390"/>
      <c r="I279" s="45">
        <f t="shared" si="34"/>
        <v>0</v>
      </c>
      <c r="J279" s="334" t="str">
        <f t="shared" si="35"/>
        <v/>
      </c>
      <c r="K279" s="390"/>
      <c r="L279" s="49"/>
      <c r="M279" s="480"/>
      <c r="N279" s="480"/>
      <c r="O279" s="480"/>
      <c r="P279" s="480"/>
      <c r="Q279" s="480"/>
      <c r="R279" s="480"/>
      <c r="S279" s="480"/>
      <c r="T279" s="480"/>
      <c r="U279" s="480"/>
      <c r="V279" s="480"/>
      <c r="W279" s="480"/>
    </row>
    <row r="280" spans="1:23" ht="11.25" customHeight="1">
      <c r="A280" s="414" t="str">
        <f>'Org structure'!E106</f>
        <v>10.5 - Spartial Planning &amp; Development</v>
      </c>
      <c r="B280" s="452"/>
      <c r="C280" s="401"/>
      <c r="D280" s="390">
        <f>23000000</f>
        <v>23000000</v>
      </c>
      <c r="E280" s="391"/>
      <c r="F280" s="479"/>
      <c r="G280" s="391">
        <f>402580.68+592714.95</f>
        <v>995295.62999999989</v>
      </c>
      <c r="H280" s="390">
        <f>23000000</f>
        <v>23000000</v>
      </c>
      <c r="I280" s="45">
        <f t="shared" si="34"/>
        <v>-22004704.370000001</v>
      </c>
      <c r="J280" s="334">
        <f t="shared" si="35"/>
        <v>-0.95672627695652179</v>
      </c>
      <c r="K280" s="390">
        <f>23000000</f>
        <v>23000000</v>
      </c>
      <c r="L280" s="49"/>
      <c r="M280" s="480"/>
      <c r="N280" s="480"/>
      <c r="O280" s="480"/>
      <c r="P280" s="480"/>
      <c r="Q280" s="480"/>
      <c r="R280" s="480"/>
      <c r="S280" s="480"/>
      <c r="T280" s="480"/>
      <c r="U280" s="480"/>
      <c r="V280" s="480"/>
      <c r="W280" s="480"/>
    </row>
    <row r="281" spans="1:23" ht="11.25" customHeight="1">
      <c r="A281" s="414" t="str">
        <f>'Org structure'!E107</f>
        <v>10.6 - Administration</v>
      </c>
      <c r="B281" s="452"/>
      <c r="C281" s="401"/>
      <c r="D281" s="390"/>
      <c r="E281" s="391"/>
      <c r="F281" s="479"/>
      <c r="G281" s="391"/>
      <c r="H281" s="390"/>
      <c r="I281" s="45">
        <f t="shared" si="34"/>
        <v>0</v>
      </c>
      <c r="J281" s="334" t="str">
        <f t="shared" si="35"/>
        <v/>
      </c>
      <c r="K281" s="390"/>
      <c r="L281" s="49"/>
      <c r="M281" s="480"/>
      <c r="N281" s="480"/>
      <c r="O281" s="480"/>
      <c r="P281" s="480"/>
      <c r="Q281" s="480"/>
      <c r="R281" s="480"/>
      <c r="S281" s="480"/>
      <c r="T281" s="480"/>
      <c r="U281" s="480"/>
      <c r="V281" s="480"/>
      <c r="W281" s="480"/>
    </row>
    <row r="282" spans="1:23" ht="11.25" customHeight="1">
      <c r="A282" s="414" t="str">
        <f>'Org structure'!E108</f>
        <v>10.7 - Director Housing</v>
      </c>
      <c r="B282" s="452"/>
      <c r="C282" s="401"/>
      <c r="D282" s="390"/>
      <c r="E282" s="391"/>
      <c r="F282" s="479"/>
      <c r="G282" s="391"/>
      <c r="H282" s="390"/>
      <c r="I282" s="45">
        <f t="shared" si="34"/>
        <v>0</v>
      </c>
      <c r="J282" s="334" t="str">
        <f t="shared" si="35"/>
        <v/>
      </c>
      <c r="K282" s="390"/>
      <c r="L282" s="49"/>
      <c r="M282" s="480"/>
      <c r="N282" s="480"/>
      <c r="O282" s="480"/>
      <c r="P282" s="480"/>
      <c r="Q282" s="480"/>
      <c r="R282" s="480"/>
      <c r="S282" s="480"/>
      <c r="T282" s="480"/>
      <c r="U282" s="480"/>
      <c r="V282" s="480"/>
      <c r="W282" s="480"/>
    </row>
    <row r="283" spans="1:23" ht="11.25" customHeight="1">
      <c r="A283" s="414">
        <f>'Org structure'!E109</f>
        <v>0</v>
      </c>
      <c r="B283" s="452"/>
      <c r="C283" s="401"/>
      <c r="D283" s="390"/>
      <c r="E283" s="391"/>
      <c r="F283" s="479"/>
      <c r="G283" s="391"/>
      <c r="H283" s="390"/>
      <c r="I283" s="45">
        <f t="shared" si="34"/>
        <v>0</v>
      </c>
      <c r="J283" s="334" t="str">
        <f t="shared" si="35"/>
        <v/>
      </c>
      <c r="K283" s="390"/>
      <c r="L283" s="49"/>
      <c r="M283" s="480"/>
      <c r="N283" s="480"/>
      <c r="O283" s="480"/>
      <c r="P283" s="480"/>
      <c r="Q283" s="480"/>
      <c r="R283" s="480"/>
      <c r="S283" s="480"/>
      <c r="T283" s="480"/>
      <c r="U283" s="480"/>
      <c r="V283" s="480"/>
      <c r="W283" s="480"/>
    </row>
    <row r="284" spans="1:23" ht="11.25" customHeight="1">
      <c r="A284" s="414">
        <f>'Org structure'!E110</f>
        <v>0</v>
      </c>
      <c r="B284" s="452"/>
      <c r="C284" s="401"/>
      <c r="D284" s="390"/>
      <c r="E284" s="391"/>
      <c r="F284" s="479"/>
      <c r="G284" s="391"/>
      <c r="H284" s="390"/>
      <c r="I284" s="45">
        <f t="shared" si="34"/>
        <v>0</v>
      </c>
      <c r="J284" s="334" t="str">
        <f t="shared" si="35"/>
        <v/>
      </c>
      <c r="K284" s="390"/>
      <c r="L284" s="49"/>
      <c r="M284" s="480"/>
      <c r="N284" s="480"/>
      <c r="O284" s="480"/>
      <c r="P284" s="480"/>
      <c r="Q284" s="480"/>
      <c r="R284" s="480"/>
      <c r="S284" s="480"/>
      <c r="T284" s="480"/>
      <c r="U284" s="480"/>
      <c r="V284" s="480"/>
      <c r="W284" s="480"/>
    </row>
    <row r="285" spans="1:23" ht="11.25" customHeight="1">
      <c r="A285" s="414">
        <f>'Org structure'!E111</f>
        <v>0</v>
      </c>
      <c r="B285" s="452"/>
      <c r="C285" s="401"/>
      <c r="D285" s="390"/>
      <c r="E285" s="391"/>
      <c r="F285" s="479"/>
      <c r="G285" s="391"/>
      <c r="H285" s="390"/>
      <c r="I285" s="45">
        <f t="shared" si="34"/>
        <v>0</v>
      </c>
      <c r="J285" s="334" t="str">
        <f t="shared" si="35"/>
        <v/>
      </c>
      <c r="K285" s="390"/>
      <c r="L285" s="49"/>
      <c r="M285" s="480"/>
      <c r="N285" s="480"/>
      <c r="O285" s="480"/>
      <c r="P285" s="480"/>
      <c r="Q285" s="480"/>
      <c r="R285" s="480"/>
      <c r="S285" s="480"/>
      <c r="T285" s="480"/>
      <c r="U285" s="480"/>
      <c r="V285" s="480"/>
      <c r="W285" s="480"/>
    </row>
    <row r="286" spans="1:23" ht="11.25" customHeight="1">
      <c r="A286" s="473" t="str">
        <f>'Org structure'!A12</f>
        <v>Vote 11 - Water &amp; Sanitation</v>
      </c>
      <c r="B286" s="452"/>
      <c r="C286" s="510">
        <f t="shared" ref="C286:K286" si="37">SUM(C287:C296)</f>
        <v>0</v>
      </c>
      <c r="D286" s="451">
        <f t="shared" si="37"/>
        <v>0</v>
      </c>
      <c r="E286" s="448">
        <f t="shared" si="37"/>
        <v>0</v>
      </c>
      <c r="F286" s="450">
        <f t="shared" si="37"/>
        <v>0</v>
      </c>
      <c r="G286" s="448">
        <f t="shared" si="37"/>
        <v>0</v>
      </c>
      <c r="H286" s="450">
        <f t="shared" si="37"/>
        <v>0</v>
      </c>
      <c r="I286" s="45">
        <f t="shared" si="34"/>
        <v>0</v>
      </c>
      <c r="J286" s="334" t="str">
        <f t="shared" si="35"/>
        <v/>
      </c>
      <c r="K286" s="449">
        <f t="shared" si="37"/>
        <v>0</v>
      </c>
      <c r="L286" s="49"/>
      <c r="M286" s="480"/>
      <c r="N286" s="480"/>
      <c r="O286" s="480"/>
      <c r="P286" s="480"/>
      <c r="Q286" s="480"/>
      <c r="R286" s="480"/>
      <c r="S286" s="480"/>
      <c r="T286" s="480"/>
      <c r="U286" s="480"/>
      <c r="V286" s="480"/>
      <c r="W286" s="480"/>
    </row>
    <row r="287" spans="1:23" ht="11.25" customHeight="1">
      <c r="A287" s="414" t="str">
        <f>'Org structure'!E113</f>
        <v>11.1 - Sanitation &amp; Sewerage</v>
      </c>
      <c r="B287" s="452"/>
      <c r="C287" s="401"/>
      <c r="D287" s="390"/>
      <c r="E287" s="391"/>
      <c r="F287" s="479"/>
      <c r="G287" s="391"/>
      <c r="H287" s="479"/>
      <c r="I287" s="45">
        <f t="shared" si="34"/>
        <v>0</v>
      </c>
      <c r="J287" s="334" t="str">
        <f t="shared" si="35"/>
        <v/>
      </c>
      <c r="K287" s="402"/>
      <c r="L287" s="49"/>
      <c r="M287" s="480"/>
      <c r="N287" s="480"/>
      <c r="O287" s="480"/>
      <c r="P287" s="480"/>
      <c r="Q287" s="480"/>
      <c r="R287" s="480"/>
      <c r="S287" s="480"/>
      <c r="T287" s="480"/>
      <c r="U287" s="480"/>
      <c r="V287" s="480"/>
      <c r="W287" s="480"/>
    </row>
    <row r="288" spans="1:23" ht="11.25" customHeight="1">
      <c r="A288" s="414" t="str">
        <f>'Org structure'!E114</f>
        <v>11.2 - Income received by the Municipality on behalf of the Entity</v>
      </c>
      <c r="B288" s="452"/>
      <c r="C288" s="401"/>
      <c r="D288" s="390"/>
      <c r="E288" s="391"/>
      <c r="F288" s="479"/>
      <c r="G288" s="391"/>
      <c r="H288" s="479"/>
      <c r="I288" s="45">
        <f t="shared" si="34"/>
        <v>0</v>
      </c>
      <c r="J288" s="334" t="str">
        <f t="shared" si="35"/>
        <v/>
      </c>
      <c r="K288" s="402"/>
      <c r="L288" s="49"/>
      <c r="M288" s="480"/>
      <c r="N288" s="480"/>
      <c r="O288" s="480"/>
      <c r="P288" s="480"/>
      <c r="Q288" s="480"/>
      <c r="R288" s="480"/>
      <c r="S288" s="480"/>
      <c r="T288" s="480"/>
      <c r="U288" s="480"/>
      <c r="V288" s="480"/>
      <c r="W288" s="480"/>
    </row>
    <row r="289" spans="1:23" ht="11.25" customHeight="1">
      <c r="A289" s="414">
        <f>'Org structure'!E115</f>
        <v>0</v>
      </c>
      <c r="B289" s="452"/>
      <c r="C289" s="401"/>
      <c r="D289" s="390"/>
      <c r="E289" s="391"/>
      <c r="F289" s="479"/>
      <c r="G289" s="391"/>
      <c r="H289" s="479"/>
      <c r="I289" s="45">
        <f t="shared" si="34"/>
        <v>0</v>
      </c>
      <c r="J289" s="334" t="str">
        <f t="shared" si="35"/>
        <v/>
      </c>
      <c r="K289" s="402"/>
      <c r="L289" s="49"/>
      <c r="M289" s="480"/>
      <c r="N289" s="480"/>
      <c r="O289" s="480"/>
      <c r="P289" s="480"/>
      <c r="Q289" s="480"/>
      <c r="R289" s="480"/>
      <c r="S289" s="480"/>
      <c r="T289" s="480"/>
      <c r="U289" s="480"/>
      <c r="V289" s="480"/>
      <c r="W289" s="480"/>
    </row>
    <row r="290" spans="1:23" ht="11.25" customHeight="1">
      <c r="A290" s="414">
        <f>'Org structure'!E116</f>
        <v>0</v>
      </c>
      <c r="B290" s="452"/>
      <c r="C290" s="401"/>
      <c r="D290" s="390"/>
      <c r="E290" s="391"/>
      <c r="F290" s="479"/>
      <c r="G290" s="391"/>
      <c r="H290" s="479"/>
      <c r="I290" s="45">
        <f t="shared" si="34"/>
        <v>0</v>
      </c>
      <c r="J290" s="334" t="str">
        <f t="shared" si="35"/>
        <v/>
      </c>
      <c r="K290" s="402"/>
      <c r="L290" s="49"/>
      <c r="M290" s="480"/>
      <c r="N290" s="480"/>
      <c r="O290" s="480"/>
      <c r="P290" s="480"/>
      <c r="Q290" s="480"/>
      <c r="R290" s="480"/>
      <c r="S290" s="480"/>
      <c r="T290" s="480"/>
      <c r="U290" s="480"/>
      <c r="V290" s="480"/>
      <c r="W290" s="480"/>
    </row>
    <row r="291" spans="1:23" ht="11.25" customHeight="1">
      <c r="A291" s="414">
        <f>'Org structure'!E117</f>
        <v>0</v>
      </c>
      <c r="B291" s="452"/>
      <c r="C291" s="401"/>
      <c r="D291" s="390"/>
      <c r="E291" s="391"/>
      <c r="F291" s="479"/>
      <c r="G291" s="391"/>
      <c r="H291" s="479"/>
      <c r="I291" s="45">
        <f t="shared" si="34"/>
        <v>0</v>
      </c>
      <c r="J291" s="334" t="str">
        <f t="shared" si="35"/>
        <v/>
      </c>
      <c r="K291" s="402"/>
      <c r="L291" s="49"/>
      <c r="M291" s="480"/>
      <c r="N291" s="480"/>
      <c r="O291" s="480"/>
      <c r="P291" s="480"/>
      <c r="Q291" s="480"/>
      <c r="R291" s="480"/>
      <c r="S291" s="480"/>
      <c r="T291" s="480"/>
      <c r="U291" s="480"/>
      <c r="V291" s="480"/>
      <c r="W291" s="480"/>
    </row>
    <row r="292" spans="1:23" ht="11.25" customHeight="1">
      <c r="A292" s="414">
        <f>'Org structure'!E118</f>
        <v>0</v>
      </c>
      <c r="B292" s="452"/>
      <c r="C292" s="401"/>
      <c r="D292" s="390"/>
      <c r="E292" s="391"/>
      <c r="F292" s="479"/>
      <c r="G292" s="391"/>
      <c r="H292" s="479"/>
      <c r="I292" s="45">
        <f t="shared" si="34"/>
        <v>0</v>
      </c>
      <c r="J292" s="334" t="str">
        <f t="shared" si="35"/>
        <v/>
      </c>
      <c r="K292" s="402"/>
      <c r="L292" s="49"/>
      <c r="M292" s="480"/>
      <c r="N292" s="480"/>
      <c r="O292" s="480"/>
      <c r="P292" s="480"/>
      <c r="Q292" s="480"/>
      <c r="R292" s="480"/>
      <c r="S292" s="480"/>
      <c r="T292" s="480"/>
      <c r="U292" s="480"/>
      <c r="V292" s="480"/>
      <c r="W292" s="480"/>
    </row>
    <row r="293" spans="1:23" ht="11.25" customHeight="1">
      <c r="A293" s="414">
        <f>'Org structure'!E119</f>
        <v>0</v>
      </c>
      <c r="B293" s="452"/>
      <c r="C293" s="401"/>
      <c r="D293" s="390"/>
      <c r="E293" s="391"/>
      <c r="F293" s="479"/>
      <c r="G293" s="391"/>
      <c r="H293" s="479"/>
      <c r="I293" s="45">
        <f t="shared" si="34"/>
        <v>0</v>
      </c>
      <c r="J293" s="334" t="str">
        <f t="shared" si="35"/>
        <v/>
      </c>
      <c r="K293" s="402"/>
      <c r="L293" s="49"/>
      <c r="M293" s="480"/>
      <c r="N293" s="480"/>
      <c r="O293" s="480"/>
      <c r="P293" s="480"/>
      <c r="Q293" s="480"/>
      <c r="R293" s="480"/>
      <c r="S293" s="480"/>
      <c r="T293" s="480"/>
      <c r="U293" s="480"/>
      <c r="V293" s="480"/>
      <c r="W293" s="480"/>
    </row>
    <row r="294" spans="1:23" ht="11.25" customHeight="1">
      <c r="A294" s="414">
        <f>'Org structure'!E120</f>
        <v>0</v>
      </c>
      <c r="B294" s="452"/>
      <c r="C294" s="401"/>
      <c r="D294" s="390"/>
      <c r="E294" s="391"/>
      <c r="F294" s="479"/>
      <c r="G294" s="391"/>
      <c r="H294" s="479"/>
      <c r="I294" s="45">
        <f t="shared" si="34"/>
        <v>0</v>
      </c>
      <c r="J294" s="334" t="str">
        <f t="shared" si="35"/>
        <v/>
      </c>
      <c r="K294" s="402"/>
      <c r="L294" s="49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</row>
    <row r="295" spans="1:23" ht="11.25" customHeight="1">
      <c r="A295" s="414">
        <f>'Org structure'!E121</f>
        <v>0</v>
      </c>
      <c r="B295" s="452"/>
      <c r="C295" s="401"/>
      <c r="D295" s="390"/>
      <c r="E295" s="391"/>
      <c r="F295" s="479"/>
      <c r="G295" s="391"/>
      <c r="H295" s="479"/>
      <c r="I295" s="45">
        <f t="shared" si="34"/>
        <v>0</v>
      </c>
      <c r="J295" s="334" t="str">
        <f t="shared" si="35"/>
        <v/>
      </c>
      <c r="K295" s="402"/>
      <c r="L295" s="49"/>
      <c r="M295" s="480"/>
      <c r="N295" s="480"/>
      <c r="O295" s="480"/>
      <c r="P295" s="480"/>
      <c r="Q295" s="480"/>
      <c r="R295" s="480"/>
      <c r="S295" s="480"/>
      <c r="T295" s="480"/>
      <c r="U295" s="480"/>
      <c r="V295" s="480"/>
      <c r="W295" s="480"/>
    </row>
    <row r="296" spans="1:23" ht="11.25" customHeight="1">
      <c r="A296" s="414">
        <f>'Org structure'!E122</f>
        <v>0</v>
      </c>
      <c r="B296" s="452"/>
      <c r="C296" s="401"/>
      <c r="D296" s="390"/>
      <c r="E296" s="391"/>
      <c r="F296" s="479"/>
      <c r="G296" s="391"/>
      <c r="H296" s="479"/>
      <c r="I296" s="45">
        <f t="shared" si="34"/>
        <v>0</v>
      </c>
      <c r="J296" s="334" t="str">
        <f t="shared" si="35"/>
        <v/>
      </c>
      <c r="K296" s="402"/>
      <c r="L296" s="49"/>
      <c r="M296" s="480"/>
      <c r="N296" s="480"/>
      <c r="O296" s="480"/>
      <c r="P296" s="480"/>
      <c r="Q296" s="480"/>
      <c r="R296" s="480"/>
      <c r="S296" s="480"/>
      <c r="T296" s="480"/>
      <c r="U296" s="480"/>
      <c r="V296" s="480"/>
      <c r="W296" s="480"/>
    </row>
    <row r="297" spans="1:23" ht="11.25" customHeight="1">
      <c r="A297" s="473" t="str">
        <f>'Org structure'!A13</f>
        <v>Vote 12 - Water</v>
      </c>
      <c r="B297" s="452"/>
      <c r="C297" s="510">
        <f t="shared" ref="C297:K297" si="38">SUM(C298:C307)</f>
        <v>0</v>
      </c>
      <c r="D297" s="451">
        <f t="shared" si="38"/>
        <v>10000000</v>
      </c>
      <c r="E297" s="448">
        <f t="shared" si="38"/>
        <v>0</v>
      </c>
      <c r="F297" s="450">
        <f t="shared" si="38"/>
        <v>0</v>
      </c>
      <c r="G297" s="448">
        <f t="shared" si="38"/>
        <v>999998.57000000007</v>
      </c>
      <c r="H297" s="450">
        <f t="shared" si="38"/>
        <v>10000000</v>
      </c>
      <c r="I297" s="45">
        <f t="shared" si="34"/>
        <v>-9000001.4299999997</v>
      </c>
      <c r="J297" s="334">
        <f t="shared" si="35"/>
        <v>-0.90000014299999997</v>
      </c>
      <c r="K297" s="449">
        <f t="shared" si="38"/>
        <v>10000000</v>
      </c>
      <c r="L297" s="49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</row>
    <row r="298" spans="1:23" ht="11.25" customHeight="1">
      <c r="A298" s="414" t="str">
        <f>'Org structure'!E124</f>
        <v>12.1 - Water</v>
      </c>
      <c r="B298" s="452"/>
      <c r="C298" s="401"/>
      <c r="D298" s="390">
        <f>10000000</f>
        <v>10000000</v>
      </c>
      <c r="E298" s="391"/>
      <c r="F298" s="479"/>
      <c r="G298" s="391">
        <f>502307.62+497690.95</f>
        <v>999998.57000000007</v>
      </c>
      <c r="H298" s="390">
        <f>10000000</f>
        <v>10000000</v>
      </c>
      <c r="I298" s="45">
        <f t="shared" si="34"/>
        <v>-9000001.4299999997</v>
      </c>
      <c r="J298" s="334">
        <f t="shared" si="35"/>
        <v>-0.90000014299999997</v>
      </c>
      <c r="K298" s="390">
        <f>10000000</f>
        <v>10000000</v>
      </c>
      <c r="L298" s="49"/>
      <c r="M298" s="480"/>
      <c r="N298" s="480"/>
      <c r="O298" s="480"/>
      <c r="P298" s="480"/>
      <c r="Q298" s="480"/>
      <c r="R298" s="480"/>
      <c r="S298" s="480"/>
      <c r="T298" s="480"/>
      <c r="U298" s="480"/>
      <c r="V298" s="480"/>
      <c r="W298" s="480"/>
    </row>
    <row r="299" spans="1:23" ht="11.25" customHeight="1">
      <c r="A299" s="414">
        <f>'Org structure'!E125</f>
        <v>0</v>
      </c>
      <c r="B299" s="452"/>
      <c r="C299" s="401"/>
      <c r="D299" s="390"/>
      <c r="E299" s="391"/>
      <c r="F299" s="479"/>
      <c r="G299" s="391"/>
      <c r="H299" s="390"/>
      <c r="I299" s="45">
        <f t="shared" si="34"/>
        <v>0</v>
      </c>
      <c r="J299" s="334" t="str">
        <f t="shared" si="35"/>
        <v/>
      </c>
      <c r="K299" s="390"/>
      <c r="L299" s="49"/>
      <c r="M299" s="480"/>
      <c r="N299" s="480"/>
      <c r="O299" s="480"/>
      <c r="P299" s="480"/>
      <c r="Q299" s="480"/>
      <c r="R299" s="480"/>
      <c r="S299" s="480"/>
      <c r="T299" s="480"/>
      <c r="U299" s="480"/>
      <c r="V299" s="480"/>
      <c r="W299" s="480"/>
    </row>
    <row r="300" spans="1:23" ht="11.25" customHeight="1">
      <c r="A300" s="414">
        <f>'Org structure'!E126</f>
        <v>0</v>
      </c>
      <c r="B300" s="452"/>
      <c r="C300" s="401"/>
      <c r="D300" s="390"/>
      <c r="E300" s="391"/>
      <c r="F300" s="479"/>
      <c r="G300" s="391"/>
      <c r="H300" s="390"/>
      <c r="I300" s="45">
        <f t="shared" si="34"/>
        <v>0</v>
      </c>
      <c r="J300" s="334" t="str">
        <f t="shared" si="35"/>
        <v/>
      </c>
      <c r="K300" s="390"/>
      <c r="L300" s="49"/>
      <c r="M300" s="480"/>
      <c r="N300" s="480"/>
      <c r="O300" s="480"/>
      <c r="P300" s="480"/>
      <c r="Q300" s="480"/>
      <c r="R300" s="480"/>
      <c r="S300" s="480"/>
      <c r="T300" s="480"/>
      <c r="U300" s="480"/>
      <c r="V300" s="480"/>
      <c r="W300" s="480"/>
    </row>
    <row r="301" spans="1:23" ht="11.25" customHeight="1">
      <c r="A301" s="414">
        <f>'Org structure'!E127</f>
        <v>0</v>
      </c>
      <c r="B301" s="452"/>
      <c r="C301" s="401"/>
      <c r="D301" s="390"/>
      <c r="E301" s="391"/>
      <c r="F301" s="479"/>
      <c r="G301" s="391"/>
      <c r="H301" s="390"/>
      <c r="I301" s="45">
        <f t="shared" si="34"/>
        <v>0</v>
      </c>
      <c r="J301" s="334" t="str">
        <f t="shared" si="35"/>
        <v/>
      </c>
      <c r="K301" s="390"/>
      <c r="L301" s="49"/>
      <c r="M301" s="480"/>
      <c r="N301" s="480"/>
      <c r="O301" s="480"/>
      <c r="P301" s="480"/>
      <c r="Q301" s="480"/>
      <c r="R301" s="480"/>
      <c r="S301" s="480"/>
      <c r="T301" s="480"/>
      <c r="U301" s="480"/>
      <c r="V301" s="480"/>
      <c r="W301" s="480"/>
    </row>
    <row r="302" spans="1:23" ht="11.25" customHeight="1">
      <c r="A302" s="414">
        <f>'Org structure'!E128</f>
        <v>0</v>
      </c>
      <c r="B302" s="452"/>
      <c r="C302" s="401"/>
      <c r="D302" s="390"/>
      <c r="E302" s="391"/>
      <c r="F302" s="479"/>
      <c r="G302" s="391"/>
      <c r="H302" s="390"/>
      <c r="I302" s="45">
        <f t="shared" si="34"/>
        <v>0</v>
      </c>
      <c r="J302" s="334" t="str">
        <f t="shared" si="35"/>
        <v/>
      </c>
      <c r="K302" s="390"/>
      <c r="L302" s="49"/>
      <c r="M302" s="480"/>
      <c r="N302" s="480"/>
      <c r="O302" s="480"/>
      <c r="P302" s="480"/>
      <c r="Q302" s="480"/>
      <c r="R302" s="480"/>
      <c r="S302" s="480"/>
      <c r="T302" s="480"/>
      <c r="U302" s="480"/>
      <c r="V302" s="480"/>
      <c r="W302" s="480"/>
    </row>
    <row r="303" spans="1:23" ht="11.25" customHeight="1">
      <c r="A303" s="414">
        <f>'Org structure'!E129</f>
        <v>0</v>
      </c>
      <c r="B303" s="452"/>
      <c r="C303" s="401"/>
      <c r="D303" s="390"/>
      <c r="E303" s="391"/>
      <c r="F303" s="479"/>
      <c r="G303" s="391"/>
      <c r="H303" s="390"/>
      <c r="I303" s="45">
        <f t="shared" si="34"/>
        <v>0</v>
      </c>
      <c r="J303" s="334" t="str">
        <f t="shared" si="35"/>
        <v/>
      </c>
      <c r="K303" s="390"/>
      <c r="L303" s="49"/>
      <c r="M303" s="480"/>
      <c r="N303" s="480"/>
      <c r="O303" s="480"/>
      <c r="P303" s="480"/>
      <c r="Q303" s="480"/>
      <c r="R303" s="480"/>
      <c r="S303" s="480"/>
      <c r="T303" s="480"/>
      <c r="U303" s="480"/>
      <c r="V303" s="480"/>
      <c r="W303" s="480"/>
    </row>
    <row r="304" spans="1:23" ht="11.25" customHeight="1">
      <c r="A304" s="414">
        <f>'Org structure'!E130</f>
        <v>0</v>
      </c>
      <c r="B304" s="452"/>
      <c r="C304" s="401"/>
      <c r="D304" s="390"/>
      <c r="E304" s="391"/>
      <c r="F304" s="479"/>
      <c r="G304" s="391"/>
      <c r="H304" s="390"/>
      <c r="I304" s="45">
        <f t="shared" si="34"/>
        <v>0</v>
      </c>
      <c r="J304" s="334" t="str">
        <f t="shared" si="35"/>
        <v/>
      </c>
      <c r="K304" s="390"/>
      <c r="L304" s="49"/>
      <c r="M304" s="480"/>
      <c r="N304" s="480"/>
      <c r="O304" s="480"/>
      <c r="P304" s="480"/>
      <c r="Q304" s="480"/>
      <c r="R304" s="480"/>
      <c r="S304" s="480"/>
      <c r="T304" s="480"/>
      <c r="U304" s="480"/>
      <c r="V304" s="480"/>
      <c r="W304" s="480"/>
    </row>
    <row r="305" spans="1:23" ht="11.25" customHeight="1">
      <c r="A305" s="414">
        <f>'Org structure'!E131</f>
        <v>0</v>
      </c>
      <c r="B305" s="452"/>
      <c r="C305" s="401"/>
      <c r="D305" s="390"/>
      <c r="E305" s="391"/>
      <c r="F305" s="479"/>
      <c r="G305" s="391"/>
      <c r="H305" s="390"/>
      <c r="I305" s="45">
        <f t="shared" si="34"/>
        <v>0</v>
      </c>
      <c r="J305" s="334" t="str">
        <f t="shared" si="35"/>
        <v/>
      </c>
      <c r="K305" s="390"/>
      <c r="L305" s="49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</row>
    <row r="306" spans="1:23" ht="11.25" customHeight="1">
      <c r="A306" s="414">
        <f>'Org structure'!E132</f>
        <v>0</v>
      </c>
      <c r="B306" s="452"/>
      <c r="C306" s="401"/>
      <c r="D306" s="390"/>
      <c r="E306" s="391"/>
      <c r="F306" s="479"/>
      <c r="G306" s="391"/>
      <c r="H306" s="390"/>
      <c r="I306" s="45">
        <f t="shared" si="34"/>
        <v>0</v>
      </c>
      <c r="J306" s="334" t="str">
        <f t="shared" si="35"/>
        <v/>
      </c>
      <c r="K306" s="390"/>
      <c r="L306" s="49"/>
      <c r="M306" s="480"/>
      <c r="N306" s="480"/>
      <c r="O306" s="480"/>
      <c r="P306" s="480"/>
      <c r="Q306" s="480"/>
      <c r="R306" s="480"/>
      <c r="S306" s="480"/>
      <c r="T306" s="480"/>
      <c r="U306" s="480"/>
      <c r="V306" s="480"/>
      <c r="W306" s="480"/>
    </row>
    <row r="307" spans="1:23" ht="11.25" customHeight="1">
      <c r="A307" s="414">
        <f>'Org structure'!E133</f>
        <v>0</v>
      </c>
      <c r="B307" s="452"/>
      <c r="C307" s="401"/>
      <c r="D307" s="390"/>
      <c r="E307" s="391"/>
      <c r="F307" s="479"/>
      <c r="G307" s="391"/>
      <c r="H307" s="390"/>
      <c r="I307" s="45">
        <f t="shared" si="34"/>
        <v>0</v>
      </c>
      <c r="J307" s="334" t="str">
        <f t="shared" si="35"/>
        <v/>
      </c>
      <c r="K307" s="390"/>
      <c r="L307" s="49"/>
      <c r="M307" s="480"/>
      <c r="N307" s="480"/>
      <c r="O307" s="480"/>
      <c r="P307" s="480"/>
      <c r="Q307" s="480"/>
      <c r="R307" s="480"/>
      <c r="S307" s="480"/>
      <c r="T307" s="480"/>
      <c r="U307" s="480"/>
      <c r="V307" s="480"/>
      <c r="W307" s="480"/>
    </row>
    <row r="308" spans="1:23" ht="11.25" customHeight="1">
      <c r="A308" s="473" t="str">
        <f>'Org structure'!A14</f>
        <v xml:space="preserve">Vote 13 - </v>
      </c>
      <c r="B308" s="452"/>
      <c r="C308" s="510">
        <f t="shared" ref="C308:K308" si="39">SUM(C309:C318)</f>
        <v>0</v>
      </c>
      <c r="D308" s="451">
        <f t="shared" si="39"/>
        <v>0</v>
      </c>
      <c r="E308" s="448">
        <f t="shared" si="39"/>
        <v>0</v>
      </c>
      <c r="F308" s="450">
        <f t="shared" si="39"/>
        <v>0</v>
      </c>
      <c r="G308" s="448">
        <f t="shared" si="39"/>
        <v>0</v>
      </c>
      <c r="H308" s="450">
        <f t="shared" si="39"/>
        <v>0</v>
      </c>
      <c r="I308" s="45">
        <f t="shared" si="34"/>
        <v>0</v>
      </c>
      <c r="J308" s="334" t="str">
        <f t="shared" si="35"/>
        <v/>
      </c>
      <c r="K308" s="449">
        <f t="shared" si="39"/>
        <v>0</v>
      </c>
      <c r="L308" s="49"/>
      <c r="M308" s="480"/>
      <c r="N308" s="480"/>
      <c r="O308" s="480"/>
      <c r="P308" s="480"/>
      <c r="Q308" s="480"/>
      <c r="R308" s="480"/>
      <c r="S308" s="480"/>
      <c r="T308" s="480"/>
      <c r="U308" s="480"/>
      <c r="V308" s="480"/>
      <c r="W308" s="480"/>
    </row>
    <row r="309" spans="1:23" ht="11.25" customHeight="1">
      <c r="A309" s="414" t="str">
        <f>'Org structure'!E135</f>
        <v>13.1 - [Name of sub-vote]</v>
      </c>
      <c r="B309" s="452"/>
      <c r="C309" s="401"/>
      <c r="D309" s="390"/>
      <c r="E309" s="391"/>
      <c r="F309" s="479"/>
      <c r="G309" s="391"/>
      <c r="H309" s="479"/>
      <c r="I309" s="45">
        <f t="shared" si="34"/>
        <v>0</v>
      </c>
      <c r="J309" s="334" t="str">
        <f t="shared" si="35"/>
        <v/>
      </c>
      <c r="K309" s="402"/>
      <c r="L309" s="49"/>
      <c r="M309" s="480"/>
      <c r="N309" s="480"/>
      <c r="O309" s="480"/>
      <c r="P309" s="480"/>
      <c r="Q309" s="480"/>
      <c r="R309" s="480"/>
      <c r="S309" s="480"/>
      <c r="T309" s="480"/>
      <c r="U309" s="480"/>
      <c r="V309" s="480"/>
      <c r="W309" s="480"/>
    </row>
    <row r="310" spans="1:23" ht="11.25" customHeight="1">
      <c r="A310" s="414">
        <f>'Org structure'!E136</f>
        <v>0</v>
      </c>
      <c r="B310" s="452"/>
      <c r="C310" s="401"/>
      <c r="D310" s="390"/>
      <c r="E310" s="391"/>
      <c r="F310" s="479"/>
      <c r="G310" s="391"/>
      <c r="H310" s="479"/>
      <c r="I310" s="45">
        <f t="shared" si="34"/>
        <v>0</v>
      </c>
      <c r="J310" s="334" t="str">
        <f t="shared" si="35"/>
        <v/>
      </c>
      <c r="K310" s="402"/>
      <c r="L310" s="49"/>
      <c r="M310" s="480"/>
      <c r="N310" s="480"/>
      <c r="O310" s="480"/>
      <c r="P310" s="480"/>
      <c r="Q310" s="480"/>
      <c r="R310" s="480"/>
      <c r="S310" s="480"/>
      <c r="T310" s="480"/>
      <c r="U310" s="480"/>
      <c r="V310" s="480"/>
      <c r="W310" s="480"/>
    </row>
    <row r="311" spans="1:23" ht="11.25" customHeight="1">
      <c r="A311" s="414">
        <f>'Org structure'!E137</f>
        <v>0</v>
      </c>
      <c r="B311" s="452"/>
      <c r="C311" s="401"/>
      <c r="D311" s="390"/>
      <c r="E311" s="391"/>
      <c r="F311" s="479"/>
      <c r="G311" s="391"/>
      <c r="H311" s="479"/>
      <c r="I311" s="45">
        <f t="shared" si="34"/>
        <v>0</v>
      </c>
      <c r="J311" s="334" t="str">
        <f t="shared" si="35"/>
        <v/>
      </c>
      <c r="K311" s="402"/>
      <c r="L311" s="49"/>
      <c r="M311" s="480"/>
      <c r="N311" s="480"/>
      <c r="O311" s="480"/>
      <c r="P311" s="480"/>
      <c r="Q311" s="480"/>
      <c r="R311" s="480"/>
      <c r="S311" s="480"/>
      <c r="T311" s="480"/>
      <c r="U311" s="480"/>
      <c r="V311" s="480"/>
      <c r="W311" s="480"/>
    </row>
    <row r="312" spans="1:23" ht="11.25" customHeight="1">
      <c r="A312" s="414">
        <f>'Org structure'!E138</f>
        <v>0</v>
      </c>
      <c r="B312" s="452"/>
      <c r="C312" s="401"/>
      <c r="D312" s="390"/>
      <c r="E312" s="391"/>
      <c r="F312" s="479"/>
      <c r="G312" s="391"/>
      <c r="H312" s="479"/>
      <c r="I312" s="45">
        <f t="shared" si="34"/>
        <v>0</v>
      </c>
      <c r="J312" s="334" t="str">
        <f t="shared" si="35"/>
        <v/>
      </c>
      <c r="K312" s="402"/>
      <c r="L312" s="49"/>
      <c r="M312" s="480"/>
      <c r="N312" s="480"/>
      <c r="O312" s="480"/>
      <c r="P312" s="480"/>
      <c r="Q312" s="480"/>
      <c r="R312" s="480"/>
      <c r="S312" s="480"/>
      <c r="T312" s="480"/>
      <c r="U312" s="480"/>
      <c r="V312" s="480"/>
      <c r="W312" s="480"/>
    </row>
    <row r="313" spans="1:23" ht="11.25" customHeight="1">
      <c r="A313" s="414">
        <f>'Org structure'!E139</f>
        <v>0</v>
      </c>
      <c r="B313" s="452"/>
      <c r="C313" s="401"/>
      <c r="D313" s="390"/>
      <c r="E313" s="391"/>
      <c r="F313" s="479"/>
      <c r="G313" s="391"/>
      <c r="H313" s="479"/>
      <c r="I313" s="45">
        <f t="shared" si="34"/>
        <v>0</v>
      </c>
      <c r="J313" s="334" t="str">
        <f t="shared" si="35"/>
        <v/>
      </c>
      <c r="K313" s="402"/>
      <c r="L313" s="49"/>
      <c r="M313" s="480"/>
      <c r="N313" s="480"/>
      <c r="O313" s="480"/>
      <c r="P313" s="480"/>
      <c r="Q313" s="480"/>
      <c r="R313" s="480"/>
      <c r="S313" s="480"/>
      <c r="T313" s="480"/>
      <c r="U313" s="480"/>
      <c r="V313" s="480"/>
      <c r="W313" s="480"/>
    </row>
    <row r="314" spans="1:23" ht="11.25" customHeight="1">
      <c r="A314" s="414">
        <f>'Org structure'!E140</f>
        <v>0</v>
      </c>
      <c r="B314" s="452"/>
      <c r="C314" s="401"/>
      <c r="D314" s="390"/>
      <c r="E314" s="391"/>
      <c r="F314" s="479"/>
      <c r="G314" s="391"/>
      <c r="H314" s="479"/>
      <c r="I314" s="45">
        <f t="shared" si="34"/>
        <v>0</v>
      </c>
      <c r="J314" s="334" t="str">
        <f t="shared" si="35"/>
        <v/>
      </c>
      <c r="K314" s="402"/>
      <c r="L314" s="49"/>
      <c r="M314" s="480"/>
      <c r="N314" s="480"/>
      <c r="O314" s="480"/>
      <c r="P314" s="480"/>
      <c r="Q314" s="480"/>
      <c r="R314" s="480"/>
      <c r="S314" s="480"/>
      <c r="T314" s="480"/>
      <c r="U314" s="480"/>
      <c r="V314" s="480"/>
      <c r="W314" s="480"/>
    </row>
    <row r="315" spans="1:23" ht="11.25" customHeight="1">
      <c r="A315" s="414">
        <f>'Org structure'!E141</f>
        <v>0</v>
      </c>
      <c r="B315" s="452"/>
      <c r="C315" s="401"/>
      <c r="D315" s="390"/>
      <c r="E315" s="391"/>
      <c r="F315" s="479"/>
      <c r="G315" s="391"/>
      <c r="H315" s="479"/>
      <c r="I315" s="45">
        <f t="shared" si="34"/>
        <v>0</v>
      </c>
      <c r="J315" s="334" t="str">
        <f t="shared" si="35"/>
        <v/>
      </c>
      <c r="K315" s="402"/>
      <c r="L315" s="49"/>
      <c r="M315" s="480"/>
      <c r="N315" s="480"/>
      <c r="O315" s="480"/>
      <c r="P315" s="480"/>
      <c r="Q315" s="480"/>
      <c r="R315" s="480"/>
      <c r="S315" s="480"/>
      <c r="T315" s="480"/>
      <c r="U315" s="480"/>
      <c r="V315" s="480"/>
      <c r="W315" s="480"/>
    </row>
    <row r="316" spans="1:23" ht="11.25" customHeight="1">
      <c r="A316" s="414">
        <f>'Org structure'!E142</f>
        <v>0</v>
      </c>
      <c r="B316" s="452"/>
      <c r="C316" s="401"/>
      <c r="D316" s="390"/>
      <c r="E316" s="391"/>
      <c r="F316" s="479"/>
      <c r="G316" s="391"/>
      <c r="H316" s="479"/>
      <c r="I316" s="45">
        <f t="shared" si="34"/>
        <v>0</v>
      </c>
      <c r="J316" s="334" t="str">
        <f t="shared" si="35"/>
        <v/>
      </c>
      <c r="K316" s="402"/>
      <c r="L316" s="49"/>
      <c r="M316" s="480"/>
      <c r="N316" s="480"/>
      <c r="O316" s="480"/>
      <c r="P316" s="480"/>
      <c r="Q316" s="480"/>
      <c r="R316" s="480"/>
      <c r="S316" s="480"/>
      <c r="T316" s="480"/>
      <c r="U316" s="480"/>
      <c r="V316" s="480"/>
      <c r="W316" s="480"/>
    </row>
    <row r="317" spans="1:23" ht="11.25" customHeight="1">
      <c r="A317" s="414">
        <f>'Org structure'!E143</f>
        <v>0</v>
      </c>
      <c r="B317" s="452"/>
      <c r="C317" s="401"/>
      <c r="D317" s="390"/>
      <c r="E317" s="391"/>
      <c r="F317" s="479"/>
      <c r="G317" s="391"/>
      <c r="H317" s="479"/>
      <c r="I317" s="45">
        <f t="shared" si="34"/>
        <v>0</v>
      </c>
      <c r="J317" s="334" t="str">
        <f t="shared" si="35"/>
        <v/>
      </c>
      <c r="K317" s="402"/>
      <c r="L317" s="49"/>
      <c r="M317" s="480"/>
      <c r="N317" s="480"/>
      <c r="O317" s="480"/>
      <c r="P317" s="480"/>
      <c r="Q317" s="480"/>
      <c r="R317" s="480"/>
      <c r="S317" s="480"/>
      <c r="T317" s="480"/>
      <c r="U317" s="480"/>
      <c r="V317" s="480"/>
      <c r="W317" s="480"/>
    </row>
    <row r="318" spans="1:23" ht="11.25" customHeight="1">
      <c r="A318" s="414">
        <f>'Org structure'!E144</f>
        <v>0</v>
      </c>
      <c r="B318" s="452"/>
      <c r="C318" s="401"/>
      <c r="D318" s="390"/>
      <c r="E318" s="391"/>
      <c r="F318" s="479"/>
      <c r="G318" s="391"/>
      <c r="H318" s="479"/>
      <c r="I318" s="45">
        <f t="shared" si="34"/>
        <v>0</v>
      </c>
      <c r="J318" s="334" t="str">
        <f t="shared" si="35"/>
        <v/>
      </c>
      <c r="K318" s="402"/>
      <c r="L318" s="49"/>
      <c r="M318" s="480"/>
      <c r="N318" s="480"/>
      <c r="O318" s="480"/>
      <c r="P318" s="480"/>
      <c r="Q318" s="480"/>
      <c r="R318" s="480"/>
      <c r="S318" s="480"/>
      <c r="T318" s="480"/>
      <c r="U318" s="480"/>
      <c r="V318" s="480"/>
      <c r="W318" s="480"/>
    </row>
    <row r="319" spans="1:23" ht="11.25" customHeight="1">
      <c r="A319" s="473" t="str">
        <f>'Org structure'!A15</f>
        <v xml:space="preserve">Vote 14 - </v>
      </c>
      <c r="B319" s="452"/>
      <c r="C319" s="510">
        <f t="shared" ref="C319:K319" si="40">SUM(C320:C329)</f>
        <v>0</v>
      </c>
      <c r="D319" s="451">
        <f t="shared" si="40"/>
        <v>0</v>
      </c>
      <c r="E319" s="448">
        <f t="shared" si="40"/>
        <v>0</v>
      </c>
      <c r="F319" s="450">
        <f t="shared" si="40"/>
        <v>0</v>
      </c>
      <c r="G319" s="448">
        <f t="shared" si="40"/>
        <v>0</v>
      </c>
      <c r="H319" s="450">
        <f t="shared" si="40"/>
        <v>0</v>
      </c>
      <c r="I319" s="45">
        <f t="shared" si="34"/>
        <v>0</v>
      </c>
      <c r="J319" s="334" t="str">
        <f t="shared" si="35"/>
        <v/>
      </c>
      <c r="K319" s="449">
        <f t="shared" si="40"/>
        <v>0</v>
      </c>
      <c r="L319" s="49"/>
      <c r="M319" s="480"/>
      <c r="N319" s="480"/>
      <c r="O319" s="480"/>
      <c r="P319" s="480"/>
      <c r="Q319" s="480"/>
      <c r="R319" s="480"/>
      <c r="S319" s="480"/>
      <c r="T319" s="480"/>
      <c r="U319" s="480"/>
      <c r="V319" s="480"/>
      <c r="W319" s="480"/>
    </row>
    <row r="320" spans="1:23" ht="11.25" customHeight="1">
      <c r="A320" s="414" t="str">
        <f>'Org structure'!E146</f>
        <v>14.1 - [Name of sub-vote]</v>
      </c>
      <c r="B320" s="452"/>
      <c r="C320" s="401"/>
      <c r="D320" s="390"/>
      <c r="E320" s="391"/>
      <c r="F320" s="479"/>
      <c r="G320" s="391"/>
      <c r="H320" s="479"/>
      <c r="I320" s="45">
        <f t="shared" si="34"/>
        <v>0</v>
      </c>
      <c r="J320" s="334" t="str">
        <f t="shared" si="35"/>
        <v/>
      </c>
      <c r="K320" s="402"/>
      <c r="L320" s="49"/>
      <c r="M320" s="480"/>
      <c r="N320" s="480"/>
      <c r="O320" s="480"/>
      <c r="P320" s="480"/>
      <c r="Q320" s="480"/>
      <c r="R320" s="480"/>
      <c r="S320" s="480"/>
      <c r="T320" s="480"/>
      <c r="U320" s="480"/>
      <c r="V320" s="480"/>
      <c r="W320" s="480"/>
    </row>
    <row r="321" spans="1:23" ht="11.25" customHeight="1">
      <c r="A321" s="414">
        <f>'Org structure'!E147</f>
        <v>0</v>
      </c>
      <c r="B321" s="452"/>
      <c r="C321" s="401"/>
      <c r="D321" s="390"/>
      <c r="E321" s="391"/>
      <c r="F321" s="479"/>
      <c r="G321" s="391"/>
      <c r="H321" s="479"/>
      <c r="I321" s="45">
        <f t="shared" si="34"/>
        <v>0</v>
      </c>
      <c r="J321" s="334" t="str">
        <f t="shared" si="35"/>
        <v/>
      </c>
      <c r="K321" s="402"/>
      <c r="L321" s="49"/>
      <c r="M321" s="480"/>
      <c r="N321" s="480"/>
      <c r="O321" s="480"/>
      <c r="P321" s="480"/>
      <c r="Q321" s="480"/>
      <c r="R321" s="480"/>
      <c r="S321" s="480"/>
      <c r="T321" s="480"/>
      <c r="U321" s="480"/>
      <c r="V321" s="480"/>
      <c r="W321" s="480"/>
    </row>
    <row r="322" spans="1:23" ht="11.25" customHeight="1">
      <c r="A322" s="414">
        <f>'Org structure'!E148</f>
        <v>0</v>
      </c>
      <c r="B322" s="452"/>
      <c r="C322" s="401"/>
      <c r="D322" s="390"/>
      <c r="E322" s="391"/>
      <c r="F322" s="479"/>
      <c r="G322" s="391"/>
      <c r="H322" s="479"/>
      <c r="I322" s="45">
        <f t="shared" si="34"/>
        <v>0</v>
      </c>
      <c r="J322" s="334" t="str">
        <f t="shared" si="35"/>
        <v/>
      </c>
      <c r="K322" s="402"/>
      <c r="L322" s="49"/>
      <c r="M322" s="480"/>
      <c r="N322" s="480"/>
      <c r="O322" s="480"/>
      <c r="P322" s="480"/>
      <c r="Q322" s="480"/>
      <c r="R322" s="480"/>
      <c r="S322" s="480"/>
      <c r="T322" s="480"/>
      <c r="U322" s="480"/>
      <c r="V322" s="480"/>
      <c r="W322" s="480"/>
    </row>
    <row r="323" spans="1:23" ht="11.25" customHeight="1">
      <c r="A323" s="414">
        <f>'Org structure'!E149</f>
        <v>0</v>
      </c>
      <c r="B323" s="452"/>
      <c r="C323" s="401"/>
      <c r="D323" s="390"/>
      <c r="E323" s="391"/>
      <c r="F323" s="479"/>
      <c r="G323" s="391"/>
      <c r="H323" s="479"/>
      <c r="I323" s="45">
        <f t="shared" si="34"/>
        <v>0</v>
      </c>
      <c r="J323" s="334" t="str">
        <f t="shared" si="35"/>
        <v/>
      </c>
      <c r="K323" s="402"/>
      <c r="L323" s="49"/>
      <c r="M323" s="480"/>
      <c r="N323" s="480"/>
      <c r="O323" s="480"/>
      <c r="P323" s="480"/>
      <c r="Q323" s="480"/>
      <c r="R323" s="480"/>
      <c r="S323" s="480"/>
      <c r="T323" s="480"/>
      <c r="U323" s="480"/>
      <c r="V323" s="480"/>
      <c r="W323" s="480"/>
    </row>
    <row r="324" spans="1:23" ht="11.25" customHeight="1">
      <c r="A324" s="414">
        <f>'Org structure'!E150</f>
        <v>0</v>
      </c>
      <c r="B324" s="452"/>
      <c r="C324" s="401"/>
      <c r="D324" s="390"/>
      <c r="E324" s="391"/>
      <c r="F324" s="479"/>
      <c r="G324" s="391"/>
      <c r="H324" s="479"/>
      <c r="I324" s="45">
        <f t="shared" si="34"/>
        <v>0</v>
      </c>
      <c r="J324" s="334" t="str">
        <f t="shared" si="35"/>
        <v/>
      </c>
      <c r="K324" s="402"/>
      <c r="L324" s="49"/>
      <c r="M324" s="480"/>
      <c r="N324" s="480"/>
      <c r="O324" s="480"/>
      <c r="P324" s="480"/>
      <c r="Q324" s="480"/>
      <c r="R324" s="480"/>
      <c r="S324" s="480"/>
      <c r="T324" s="480"/>
      <c r="U324" s="480"/>
      <c r="V324" s="480"/>
      <c r="W324" s="480"/>
    </row>
    <row r="325" spans="1:23" ht="11.25" customHeight="1">
      <c r="A325" s="414">
        <f>'Org structure'!E151</f>
        <v>0</v>
      </c>
      <c r="B325" s="452"/>
      <c r="C325" s="401"/>
      <c r="D325" s="390"/>
      <c r="E325" s="391"/>
      <c r="F325" s="479"/>
      <c r="G325" s="391"/>
      <c r="H325" s="479"/>
      <c r="I325" s="45">
        <f t="shared" si="34"/>
        <v>0</v>
      </c>
      <c r="J325" s="334" t="str">
        <f t="shared" si="35"/>
        <v/>
      </c>
      <c r="K325" s="402"/>
      <c r="L325" s="49"/>
      <c r="M325" s="480"/>
      <c r="N325" s="480"/>
      <c r="O325" s="480"/>
      <c r="P325" s="480"/>
      <c r="Q325" s="480"/>
      <c r="R325" s="480"/>
      <c r="S325" s="480"/>
      <c r="T325" s="480"/>
      <c r="U325" s="480"/>
      <c r="V325" s="480"/>
      <c r="W325" s="480"/>
    </row>
    <row r="326" spans="1:23" ht="11.25" customHeight="1">
      <c r="A326" s="414">
        <f>'Org structure'!E152</f>
        <v>0</v>
      </c>
      <c r="B326" s="452"/>
      <c r="C326" s="401"/>
      <c r="D326" s="390"/>
      <c r="E326" s="391"/>
      <c r="F326" s="479"/>
      <c r="G326" s="391"/>
      <c r="H326" s="479"/>
      <c r="I326" s="45">
        <f t="shared" si="34"/>
        <v>0</v>
      </c>
      <c r="J326" s="334" t="str">
        <f t="shared" si="35"/>
        <v/>
      </c>
      <c r="K326" s="402"/>
      <c r="L326" s="49"/>
      <c r="M326" s="480"/>
      <c r="N326" s="480"/>
      <c r="O326" s="480"/>
      <c r="P326" s="480"/>
      <c r="Q326" s="480"/>
      <c r="R326" s="480"/>
      <c r="S326" s="480"/>
      <c r="T326" s="480"/>
      <c r="U326" s="480"/>
      <c r="V326" s="480"/>
      <c r="W326" s="480"/>
    </row>
    <row r="327" spans="1:23" ht="11.25" customHeight="1">
      <c r="A327" s="414">
        <f>'Org structure'!E153</f>
        <v>0</v>
      </c>
      <c r="B327" s="452"/>
      <c r="C327" s="401"/>
      <c r="D327" s="390"/>
      <c r="E327" s="391"/>
      <c r="F327" s="479"/>
      <c r="G327" s="391"/>
      <c r="H327" s="479"/>
      <c r="I327" s="45">
        <f t="shared" si="34"/>
        <v>0</v>
      </c>
      <c r="J327" s="334" t="str">
        <f t="shared" si="35"/>
        <v/>
      </c>
      <c r="K327" s="402"/>
      <c r="L327" s="49"/>
      <c r="M327" s="480"/>
      <c r="N327" s="480"/>
      <c r="O327" s="480"/>
      <c r="P327" s="480"/>
      <c r="Q327" s="480"/>
      <c r="R327" s="480"/>
      <c r="S327" s="480"/>
      <c r="T327" s="480"/>
      <c r="U327" s="480"/>
      <c r="V327" s="480"/>
      <c r="W327" s="480"/>
    </row>
    <row r="328" spans="1:23" ht="11.25" customHeight="1">
      <c r="A328" s="414">
        <f>'Org structure'!E154</f>
        <v>0</v>
      </c>
      <c r="B328" s="452"/>
      <c r="C328" s="401"/>
      <c r="D328" s="390"/>
      <c r="E328" s="391"/>
      <c r="F328" s="479"/>
      <c r="G328" s="391"/>
      <c r="H328" s="479"/>
      <c r="I328" s="45">
        <f t="shared" ref="I328:I343" si="41">G328-H328</f>
        <v>0</v>
      </c>
      <c r="J328" s="334" t="str">
        <f t="shared" ref="J328:J343" si="42">IF(I328=0,"",I328/H328)</f>
        <v/>
      </c>
      <c r="K328" s="402"/>
      <c r="L328" s="49"/>
      <c r="M328" s="480"/>
      <c r="N328" s="480"/>
      <c r="O328" s="480"/>
      <c r="P328" s="480"/>
      <c r="Q328" s="480"/>
      <c r="R328" s="480"/>
      <c r="S328" s="480"/>
      <c r="T328" s="480"/>
      <c r="U328" s="480"/>
      <c r="V328" s="480"/>
      <c r="W328" s="480"/>
    </row>
    <row r="329" spans="1:23" ht="11.25" customHeight="1">
      <c r="A329" s="414">
        <f>'Org structure'!E155</f>
        <v>0</v>
      </c>
      <c r="B329" s="452"/>
      <c r="C329" s="401"/>
      <c r="D329" s="390"/>
      <c r="E329" s="391"/>
      <c r="F329" s="479"/>
      <c r="G329" s="391"/>
      <c r="H329" s="479"/>
      <c r="I329" s="45">
        <f t="shared" si="41"/>
        <v>0</v>
      </c>
      <c r="J329" s="334" t="str">
        <f t="shared" si="42"/>
        <v/>
      </c>
      <c r="K329" s="402"/>
      <c r="L329" s="49"/>
      <c r="M329" s="480"/>
      <c r="N329" s="480"/>
      <c r="O329" s="480"/>
      <c r="P329" s="480"/>
      <c r="Q329" s="480"/>
      <c r="R329" s="480"/>
      <c r="S329" s="480"/>
      <c r="T329" s="480"/>
      <c r="U329" s="480"/>
      <c r="V329" s="480"/>
      <c r="W329" s="480"/>
    </row>
    <row r="330" spans="1:23" ht="11.25" customHeight="1">
      <c r="A330" s="473" t="str">
        <f>'Org structure'!A16</f>
        <v xml:space="preserve">Vote 15 - </v>
      </c>
      <c r="B330" s="452"/>
      <c r="C330" s="510">
        <f t="shared" ref="C330:K330" si="43">SUM(C331:C340)</f>
        <v>0</v>
      </c>
      <c r="D330" s="451">
        <f t="shared" si="43"/>
        <v>0</v>
      </c>
      <c r="E330" s="448">
        <f t="shared" si="43"/>
        <v>0</v>
      </c>
      <c r="F330" s="450">
        <f t="shared" si="43"/>
        <v>0</v>
      </c>
      <c r="G330" s="448">
        <f t="shared" si="43"/>
        <v>0</v>
      </c>
      <c r="H330" s="450">
        <f t="shared" si="43"/>
        <v>0</v>
      </c>
      <c r="I330" s="45">
        <f t="shared" si="41"/>
        <v>0</v>
      </c>
      <c r="J330" s="334" t="str">
        <f t="shared" si="42"/>
        <v/>
      </c>
      <c r="K330" s="449">
        <f t="shared" si="43"/>
        <v>0</v>
      </c>
      <c r="L330" s="49"/>
      <c r="M330" s="480"/>
      <c r="N330" s="480"/>
      <c r="O330" s="480"/>
      <c r="P330" s="480"/>
      <c r="Q330" s="480"/>
      <c r="R330" s="480"/>
      <c r="S330" s="480"/>
      <c r="T330" s="480"/>
      <c r="U330" s="480"/>
      <c r="V330" s="480"/>
      <c r="W330" s="480"/>
    </row>
    <row r="331" spans="1:23" ht="11.25" customHeight="1">
      <c r="A331" s="414" t="str">
        <f>'Org structure'!E157</f>
        <v>15.1 - [Name of sub-vote]</v>
      </c>
      <c r="B331" s="452"/>
      <c r="C331" s="401"/>
      <c r="D331" s="390"/>
      <c r="E331" s="391"/>
      <c r="F331" s="479"/>
      <c r="G331" s="391"/>
      <c r="H331" s="479"/>
      <c r="I331" s="45">
        <f t="shared" si="41"/>
        <v>0</v>
      </c>
      <c r="J331" s="334" t="str">
        <f t="shared" si="42"/>
        <v/>
      </c>
      <c r="K331" s="402"/>
      <c r="L331" s="49"/>
      <c r="M331" s="480"/>
      <c r="N331" s="480"/>
      <c r="O331" s="480"/>
      <c r="P331" s="480"/>
      <c r="Q331" s="480"/>
      <c r="R331" s="480"/>
      <c r="S331" s="480"/>
      <c r="T331" s="480"/>
      <c r="U331" s="480"/>
      <c r="V331" s="480"/>
      <c r="W331" s="480"/>
    </row>
    <row r="332" spans="1:23" ht="11.25" customHeight="1">
      <c r="A332" s="414">
        <f>'Org structure'!E158</f>
        <v>0</v>
      </c>
      <c r="B332" s="452"/>
      <c r="C332" s="401"/>
      <c r="D332" s="390"/>
      <c r="E332" s="391"/>
      <c r="F332" s="479"/>
      <c r="G332" s="391"/>
      <c r="H332" s="479"/>
      <c r="I332" s="45">
        <f t="shared" si="41"/>
        <v>0</v>
      </c>
      <c r="J332" s="334" t="str">
        <f t="shared" si="42"/>
        <v/>
      </c>
      <c r="K332" s="402"/>
      <c r="L332" s="49"/>
      <c r="M332" s="480"/>
      <c r="N332" s="480"/>
      <c r="O332" s="480"/>
      <c r="P332" s="480"/>
      <c r="Q332" s="480"/>
      <c r="R332" s="480"/>
      <c r="S332" s="480"/>
      <c r="T332" s="480"/>
      <c r="U332" s="480"/>
      <c r="V332" s="480"/>
      <c r="W332" s="480"/>
    </row>
    <row r="333" spans="1:23" ht="11.25" customHeight="1">
      <c r="A333" s="414">
        <f>'Org structure'!E159</f>
        <v>0</v>
      </c>
      <c r="B333" s="452"/>
      <c r="C333" s="401"/>
      <c r="D333" s="390"/>
      <c r="E333" s="391"/>
      <c r="F333" s="479"/>
      <c r="G333" s="391"/>
      <c r="H333" s="479"/>
      <c r="I333" s="45">
        <f t="shared" si="41"/>
        <v>0</v>
      </c>
      <c r="J333" s="334" t="str">
        <f t="shared" si="42"/>
        <v/>
      </c>
      <c r="K333" s="402"/>
      <c r="L333" s="49"/>
      <c r="M333" s="480"/>
      <c r="N333" s="480"/>
      <c r="O333" s="480"/>
      <c r="P333" s="480"/>
      <c r="Q333" s="480"/>
      <c r="R333" s="480"/>
      <c r="S333" s="480"/>
      <c r="T333" s="480"/>
      <c r="U333" s="480"/>
      <c r="V333" s="480"/>
      <c r="W333" s="480"/>
    </row>
    <row r="334" spans="1:23" ht="11.25" customHeight="1">
      <c r="A334" s="414">
        <f>'Org structure'!E160</f>
        <v>0</v>
      </c>
      <c r="B334" s="452"/>
      <c r="C334" s="401"/>
      <c r="D334" s="390"/>
      <c r="E334" s="391"/>
      <c r="F334" s="479"/>
      <c r="G334" s="391"/>
      <c r="H334" s="479"/>
      <c r="I334" s="45">
        <f t="shared" si="41"/>
        <v>0</v>
      </c>
      <c r="J334" s="334" t="str">
        <f t="shared" si="42"/>
        <v/>
      </c>
      <c r="K334" s="402"/>
      <c r="L334" s="49"/>
      <c r="M334" s="480"/>
      <c r="N334" s="480"/>
      <c r="O334" s="480"/>
      <c r="P334" s="480"/>
      <c r="Q334" s="480"/>
      <c r="R334" s="480"/>
      <c r="S334" s="480"/>
      <c r="T334" s="480"/>
      <c r="U334" s="480"/>
      <c r="V334" s="480"/>
      <c r="W334" s="480"/>
    </row>
    <row r="335" spans="1:23" ht="11.25" customHeight="1">
      <c r="A335" s="414">
        <f>'Org structure'!E161</f>
        <v>0</v>
      </c>
      <c r="B335" s="452"/>
      <c r="C335" s="401"/>
      <c r="D335" s="390"/>
      <c r="E335" s="391"/>
      <c r="F335" s="479"/>
      <c r="G335" s="391"/>
      <c r="H335" s="479"/>
      <c r="I335" s="45">
        <f t="shared" si="41"/>
        <v>0</v>
      </c>
      <c r="J335" s="334" t="str">
        <f t="shared" si="42"/>
        <v/>
      </c>
      <c r="K335" s="402"/>
      <c r="L335" s="49"/>
      <c r="M335" s="480"/>
      <c r="N335" s="480"/>
      <c r="O335" s="480"/>
      <c r="P335" s="480"/>
      <c r="Q335" s="480"/>
      <c r="R335" s="480"/>
      <c r="S335" s="480"/>
      <c r="T335" s="480"/>
      <c r="U335" s="480"/>
      <c r="V335" s="480"/>
      <c r="W335" s="480"/>
    </row>
    <row r="336" spans="1:23" ht="11.25" customHeight="1">
      <c r="A336" s="414">
        <f>'Org structure'!E162</f>
        <v>0</v>
      </c>
      <c r="B336" s="452"/>
      <c r="C336" s="401"/>
      <c r="D336" s="390"/>
      <c r="E336" s="391"/>
      <c r="F336" s="479"/>
      <c r="G336" s="391"/>
      <c r="H336" s="479"/>
      <c r="I336" s="45">
        <f t="shared" si="41"/>
        <v>0</v>
      </c>
      <c r="J336" s="334" t="str">
        <f t="shared" si="42"/>
        <v/>
      </c>
      <c r="K336" s="402"/>
      <c r="L336" s="49"/>
      <c r="M336" s="480"/>
      <c r="N336" s="480"/>
      <c r="O336" s="480"/>
      <c r="P336" s="480"/>
      <c r="Q336" s="480"/>
      <c r="R336" s="480"/>
      <c r="S336" s="480"/>
      <c r="T336" s="480"/>
      <c r="U336" s="480"/>
      <c r="V336" s="480"/>
      <c r="W336" s="480"/>
    </row>
    <row r="337" spans="1:24" ht="11.25" customHeight="1">
      <c r="A337" s="414">
        <f>'Org structure'!E163</f>
        <v>0</v>
      </c>
      <c r="B337" s="452"/>
      <c r="C337" s="401"/>
      <c r="D337" s="390"/>
      <c r="E337" s="391"/>
      <c r="F337" s="479"/>
      <c r="G337" s="391"/>
      <c r="H337" s="479"/>
      <c r="I337" s="45">
        <f t="shared" si="41"/>
        <v>0</v>
      </c>
      <c r="J337" s="334" t="str">
        <f t="shared" si="42"/>
        <v/>
      </c>
      <c r="K337" s="402"/>
      <c r="L337" s="49"/>
      <c r="M337" s="480"/>
      <c r="N337" s="480"/>
      <c r="O337" s="480"/>
      <c r="P337" s="480"/>
      <c r="Q337" s="480"/>
      <c r="R337" s="480"/>
      <c r="S337" s="480"/>
      <c r="T337" s="480"/>
      <c r="U337" s="480"/>
      <c r="V337" s="480"/>
      <c r="W337" s="480"/>
    </row>
    <row r="338" spans="1:24" ht="11.25" customHeight="1">
      <c r="A338" s="414">
        <f>'Org structure'!E164</f>
        <v>0</v>
      </c>
      <c r="B338" s="452"/>
      <c r="C338" s="401"/>
      <c r="D338" s="390"/>
      <c r="E338" s="391"/>
      <c r="F338" s="479"/>
      <c r="G338" s="391"/>
      <c r="H338" s="479"/>
      <c r="I338" s="45">
        <f t="shared" si="41"/>
        <v>0</v>
      </c>
      <c r="J338" s="334" t="str">
        <f t="shared" si="42"/>
        <v/>
      </c>
      <c r="K338" s="402"/>
      <c r="L338" s="49"/>
      <c r="M338" s="480"/>
      <c r="N338" s="480"/>
      <c r="O338" s="480"/>
      <c r="P338" s="480"/>
      <c r="Q338" s="480"/>
      <c r="R338" s="480"/>
      <c r="S338" s="480"/>
      <c r="T338" s="480"/>
      <c r="U338" s="480"/>
      <c r="V338" s="480"/>
      <c r="W338" s="480"/>
    </row>
    <row r="339" spans="1:24" ht="11.25" customHeight="1">
      <c r="A339" s="414">
        <f>'Org structure'!E165</f>
        <v>0</v>
      </c>
      <c r="B339" s="452"/>
      <c r="C339" s="401"/>
      <c r="D339" s="390"/>
      <c r="E339" s="391"/>
      <c r="F339" s="479"/>
      <c r="G339" s="391"/>
      <c r="H339" s="479"/>
      <c r="I339" s="45">
        <f t="shared" si="41"/>
        <v>0</v>
      </c>
      <c r="J339" s="334" t="str">
        <f t="shared" si="42"/>
        <v/>
      </c>
      <c r="K339" s="402"/>
      <c r="L339" s="49"/>
      <c r="M339" s="480"/>
      <c r="N339" s="480"/>
      <c r="O339" s="480"/>
      <c r="P339" s="480"/>
      <c r="Q339" s="480"/>
      <c r="R339" s="480"/>
      <c r="S339" s="480"/>
      <c r="T339" s="480"/>
      <c r="U339" s="480"/>
      <c r="V339" s="480"/>
      <c r="W339" s="480"/>
    </row>
    <row r="340" spans="1:24" ht="11.25" customHeight="1">
      <c r="A340" s="414">
        <f>'Org structure'!E166</f>
        <v>0</v>
      </c>
      <c r="B340" s="452"/>
      <c r="C340" s="401"/>
      <c r="D340" s="390"/>
      <c r="E340" s="391"/>
      <c r="F340" s="479"/>
      <c r="G340" s="391"/>
      <c r="H340" s="479"/>
      <c r="I340" s="45">
        <f t="shared" si="41"/>
        <v>0</v>
      </c>
      <c r="J340" s="334" t="str">
        <f t="shared" si="42"/>
        <v/>
      </c>
      <c r="K340" s="402"/>
      <c r="L340" s="459">
        <f t="shared" ref="L340:W340" si="44">SUM(L175:L251)</f>
        <v>0</v>
      </c>
      <c r="M340" s="460">
        <f t="shared" si="44"/>
        <v>0</v>
      </c>
      <c r="N340" s="460">
        <f t="shared" si="44"/>
        <v>0</v>
      </c>
      <c r="O340" s="460">
        <f t="shared" si="44"/>
        <v>0</v>
      </c>
      <c r="P340" s="460">
        <f t="shared" si="44"/>
        <v>0</v>
      </c>
      <c r="Q340" s="460">
        <f t="shared" si="44"/>
        <v>0</v>
      </c>
      <c r="R340" s="460">
        <f t="shared" si="44"/>
        <v>0</v>
      </c>
      <c r="S340" s="460">
        <f t="shared" si="44"/>
        <v>0</v>
      </c>
      <c r="T340" s="460">
        <f t="shared" si="44"/>
        <v>0</v>
      </c>
      <c r="U340" s="460">
        <f t="shared" si="44"/>
        <v>0</v>
      </c>
      <c r="V340" s="460">
        <f t="shared" si="44"/>
        <v>0</v>
      </c>
      <c r="W340" s="460">
        <f t="shared" si="44"/>
        <v>0</v>
      </c>
    </row>
    <row r="341" spans="1:24" ht="12.75" customHeight="1">
      <c r="A341" s="729" t="s">
        <v>975</v>
      </c>
      <c r="B341" s="730"/>
      <c r="C341" s="515">
        <f>C176+C187+C198+C209+C220+C231+C242+C253+C264+C286+C297+C308+C319+C330+C275</f>
        <v>0</v>
      </c>
      <c r="D341" s="482">
        <f t="shared" ref="D341:K341" si="45">D176+D187+D198+D209+D220+D231+D242+D253+D264+D286+D297+D308+D319+D330+D275</f>
        <v>141562000</v>
      </c>
      <c r="E341" s="437">
        <f t="shared" si="45"/>
        <v>0</v>
      </c>
      <c r="F341" s="481">
        <f t="shared" si="45"/>
        <v>1300</v>
      </c>
      <c r="G341" s="437">
        <f t="shared" si="45"/>
        <v>9691540.1600000001</v>
      </c>
      <c r="H341" s="481">
        <f t="shared" si="45"/>
        <v>141562000</v>
      </c>
      <c r="I341" s="437">
        <f t="shared" si="41"/>
        <v>-131870459.84</v>
      </c>
      <c r="J341" s="437">
        <f t="shared" si="42"/>
        <v>-0.93153854735027763</v>
      </c>
      <c r="K341" s="520">
        <f t="shared" si="45"/>
        <v>141562000</v>
      </c>
      <c r="L341" s="48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>
      <c r="A342" s="43"/>
      <c r="B342" s="452"/>
      <c r="C342" s="111"/>
      <c r="D342" s="52"/>
      <c r="E342" s="51"/>
      <c r="F342" s="50"/>
      <c r="G342" s="51"/>
      <c r="H342" s="50"/>
      <c r="I342" s="51">
        <f t="shared" si="41"/>
        <v>0</v>
      </c>
      <c r="J342" s="51" t="str">
        <f t="shared" si="42"/>
        <v/>
      </c>
      <c r="K342" s="195"/>
      <c r="L342" s="487">
        <f t="shared" ref="L342:W342" si="46">L171-L340</f>
        <v>0</v>
      </c>
      <c r="M342" s="488">
        <f t="shared" si="46"/>
        <v>0</v>
      </c>
      <c r="N342" s="488">
        <f t="shared" si="46"/>
        <v>0</v>
      </c>
      <c r="O342" s="488">
        <f t="shared" si="46"/>
        <v>0</v>
      </c>
      <c r="P342" s="488">
        <f t="shared" si="46"/>
        <v>0</v>
      </c>
      <c r="Q342" s="488">
        <f t="shared" si="46"/>
        <v>0</v>
      </c>
      <c r="R342" s="488">
        <f t="shared" si="46"/>
        <v>0</v>
      </c>
      <c r="S342" s="488">
        <f t="shared" si="46"/>
        <v>0</v>
      </c>
      <c r="T342" s="488">
        <f t="shared" si="46"/>
        <v>0</v>
      </c>
      <c r="U342" s="488">
        <f t="shared" si="46"/>
        <v>0</v>
      </c>
      <c r="V342" s="488">
        <f t="shared" si="46"/>
        <v>0</v>
      </c>
      <c r="W342" s="488">
        <f t="shared" si="46"/>
        <v>0</v>
      </c>
    </row>
    <row r="343" spans="1:24" s="493" customFormat="1" ht="13.5" customHeight="1" thickTop="1">
      <c r="A343" s="54" t="s">
        <v>934</v>
      </c>
      <c r="B343" s="484"/>
      <c r="C343" s="516">
        <f>C172+C341</f>
        <v>0</v>
      </c>
      <c r="D343" s="519">
        <f t="shared" ref="D343:K343" si="47">D172+D341</f>
        <v>394023759</v>
      </c>
      <c r="E343" s="56">
        <f t="shared" si="47"/>
        <v>0</v>
      </c>
      <c r="F343" s="486">
        <f t="shared" si="47"/>
        <v>9754095.3800000008</v>
      </c>
      <c r="G343" s="56">
        <f t="shared" si="47"/>
        <v>124425351.55000001</v>
      </c>
      <c r="H343" s="486">
        <f t="shared" si="47"/>
        <v>394023759</v>
      </c>
      <c r="I343" s="56">
        <f t="shared" si="41"/>
        <v>-269598407.44999999</v>
      </c>
      <c r="J343" s="56">
        <f t="shared" si="42"/>
        <v>-0.68421865761145639</v>
      </c>
      <c r="K343" s="236">
        <f t="shared" si="47"/>
        <v>394023759</v>
      </c>
    </row>
    <row r="344" spans="1:24" s="493" customFormat="1" ht="11.25" customHeight="1">
      <c r="A344" s="489" t="str">
        <f>head27a</f>
        <v>References</v>
      </c>
      <c r="B344" s="490"/>
      <c r="C344" s="491"/>
      <c r="D344" s="492"/>
      <c r="E344" s="492"/>
      <c r="F344" s="492"/>
      <c r="G344" s="492"/>
      <c r="H344" s="492"/>
      <c r="I344" s="492"/>
      <c r="J344" s="492"/>
      <c r="K344" s="492"/>
    </row>
    <row r="345" spans="1:24" s="493" customFormat="1" ht="11.25" customHeight="1">
      <c r="A345" s="494" t="s">
        <v>136</v>
      </c>
      <c r="B345" s="490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s="493" customFormat="1" ht="11.25" customHeight="1">
      <c r="A346" s="497"/>
      <c r="B346" s="490"/>
      <c r="C346" s="495"/>
      <c r="D346" s="495"/>
      <c r="E346" s="496"/>
      <c r="F346" s="496"/>
      <c r="G346" s="496"/>
      <c r="H346" s="496"/>
      <c r="I346" s="496"/>
      <c r="J346" s="496"/>
      <c r="K346" s="496"/>
    </row>
    <row r="347" spans="1:24" ht="11.25" customHeight="1">
      <c r="A347" s="497"/>
      <c r="B347" s="498"/>
      <c r="C347" s="499"/>
      <c r="D347" s="499"/>
      <c r="E347" s="500"/>
      <c r="F347" s="500"/>
      <c r="G347" s="500"/>
      <c r="H347" s="500"/>
      <c r="I347" s="500"/>
      <c r="J347" s="500"/>
      <c r="K347" s="500"/>
    </row>
    <row r="348" spans="1:24" ht="11.25" customHeight="1">
      <c r="A348" s="68"/>
    </row>
    <row r="349" spans="1:24" ht="11.25" customHeight="1">
      <c r="A349" s="714"/>
      <c r="B349" s="692"/>
      <c r="C349" s="693"/>
      <c r="D349" s="693"/>
      <c r="E349" s="693"/>
      <c r="F349" s="693"/>
      <c r="G349" s="693"/>
      <c r="H349" s="693"/>
      <c r="I349" s="693"/>
      <c r="J349" s="693"/>
      <c r="K349" s="693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>
      <c r="A350" s="714"/>
      <c r="B350" s="692"/>
      <c r="C350" s="693"/>
      <c r="D350" s="693"/>
      <c r="E350" s="693"/>
      <c r="F350" s="693"/>
      <c r="G350" s="693"/>
      <c r="H350" s="693"/>
      <c r="I350" s="693"/>
      <c r="J350" s="693"/>
      <c r="K350" s="693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>
      <c r="A351" s="68"/>
    </row>
    <row r="352" spans="1:24" ht="11.25" customHeight="1">
      <c r="A352" s="68"/>
    </row>
    <row r="353" spans="1:1" ht="11.25" customHeight="1">
      <c r="A353" s="68"/>
    </row>
    <row r="354" spans="1:1" ht="11.25" customHeight="1"/>
    <row r="355" spans="1:1" ht="11.25" customHeight="1"/>
    <row r="356" spans="1:1" ht="11.25" customHeight="1"/>
    <row r="357" spans="1:1" ht="11.25" customHeight="1"/>
    <row r="358" spans="1:1" ht="11.25" customHeight="1"/>
    <row r="359" spans="1:1" ht="11.25" customHeight="1"/>
    <row r="360" spans="1:1" ht="11.25" customHeight="1"/>
    <row r="361" spans="1:1" ht="11.25" customHeight="1"/>
    <row r="362" spans="1:1" ht="11.25" customHeight="1"/>
    <row r="363" spans="1:1" ht="11.25" customHeight="1"/>
    <row r="364" spans="1:1" ht="11.25" customHeight="1"/>
    <row r="365" spans="1:1" ht="11.25" customHeight="1"/>
    <row r="366" spans="1:1" ht="11.25" customHeight="1"/>
    <row r="367" spans="1:1" ht="11.25" customHeight="1"/>
    <row r="368" spans="1:1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</sheetData>
  <mergeCells count="3">
    <mergeCell ref="D2:K2"/>
    <mergeCell ref="L2:W2"/>
    <mergeCell ref="A1:K1"/>
  </mergeCells>
  <phoneticPr fontId="3" type="noConversion"/>
  <pageMargins left="0.75" right="0.75" top="1" bottom="1" header="0.5" footer="0.5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="110" zoomScaleNormal="100" zoomScaleSheetLayoutView="11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C46" sqref="C46:G47"/>
    </sheetView>
  </sheetViews>
  <sheetFormatPr defaultRowHeight="12.7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>
      <c r="A1" s="998" t="str">
        <f>muni&amp; " - "&amp;S71E&amp; " - "&amp;date</f>
        <v>FS194 Maluti-a-Phofung - Table C6 Consolidated Monthly Budget Statement - Financial Position  - M07 January</v>
      </c>
      <c r="B1" s="998"/>
      <c r="C1" s="998"/>
      <c r="D1" s="998"/>
      <c r="E1" s="998"/>
      <c r="F1" s="998"/>
      <c r="G1" s="998"/>
    </row>
    <row r="2" spans="1:8">
      <c r="A2" s="983" t="str">
        <f>desc</f>
        <v>Description</v>
      </c>
      <c r="B2" s="976" t="str">
        <f>head27</f>
        <v>Ref</v>
      </c>
      <c r="C2" s="141" t="str">
        <f>Head1</f>
        <v>2012/13</v>
      </c>
      <c r="D2" s="246" t="str">
        <f>Head2</f>
        <v>Budget Year 2013/14</v>
      </c>
      <c r="E2" s="230"/>
      <c r="F2" s="230"/>
      <c r="G2" s="231"/>
    </row>
    <row r="3" spans="1:8" ht="25.5">
      <c r="A3" s="984"/>
      <c r="B3" s="987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>
      <c r="A4" s="35" t="s">
        <v>821</v>
      </c>
      <c r="B4" s="120">
        <v>1</v>
      </c>
      <c r="C4" s="188"/>
      <c r="D4" s="247"/>
      <c r="E4" s="242"/>
      <c r="F4" s="83"/>
      <c r="G4" s="224"/>
    </row>
    <row r="5" spans="1:8" ht="11.25" customHeight="1">
      <c r="A5" s="183" t="s">
        <v>683</v>
      </c>
      <c r="B5" s="187"/>
      <c r="C5" s="171"/>
      <c r="D5" s="268"/>
      <c r="E5" s="37"/>
      <c r="F5" s="37"/>
      <c r="G5" s="227"/>
    </row>
    <row r="6" spans="1:8" ht="11.25" customHeight="1">
      <c r="A6" s="88" t="s">
        <v>684</v>
      </c>
      <c r="B6" s="170"/>
      <c r="C6" s="41"/>
      <c r="D6" s="269"/>
      <c r="E6" s="104"/>
      <c r="F6" s="104"/>
      <c r="G6" s="267"/>
    </row>
    <row r="7" spans="1:8" ht="12.75" customHeight="1">
      <c r="A7" s="40" t="s">
        <v>961</v>
      </c>
      <c r="B7" s="170"/>
      <c r="C7" s="767"/>
      <c r="D7" s="772"/>
      <c r="E7" s="752"/>
      <c r="F7" s="752"/>
      <c r="G7" s="754">
        <v>0</v>
      </c>
    </row>
    <row r="8" spans="1:8" ht="12.75" customHeight="1">
      <c r="A8" s="40" t="s">
        <v>739</v>
      </c>
      <c r="B8" s="170"/>
      <c r="C8" s="767"/>
      <c r="D8" s="772">
        <v>69624000</v>
      </c>
      <c r="E8" s="752"/>
      <c r="F8" s="752"/>
      <c r="G8" s="754">
        <v>69624000</v>
      </c>
    </row>
    <row r="9" spans="1:8" ht="12.75" customHeight="1">
      <c r="A9" s="40" t="s">
        <v>737</v>
      </c>
      <c r="B9" s="170"/>
      <c r="C9" s="767"/>
      <c r="D9" s="772">
        <v>674366000</v>
      </c>
      <c r="E9" s="752"/>
      <c r="F9" s="752"/>
      <c r="G9" s="754">
        <v>674366000</v>
      </c>
    </row>
    <row r="10" spans="1:8" ht="12.75" customHeight="1">
      <c r="A10" s="40" t="s">
        <v>738</v>
      </c>
      <c r="B10" s="170"/>
      <c r="C10" s="767"/>
      <c r="D10" s="772">
        <v>72336000</v>
      </c>
      <c r="E10" s="752"/>
      <c r="F10" s="752"/>
      <c r="G10" s="754">
        <v>72336000</v>
      </c>
    </row>
    <row r="11" spans="1:8" ht="12.75" customHeight="1">
      <c r="A11" s="40" t="s">
        <v>962</v>
      </c>
      <c r="B11" s="170"/>
      <c r="C11" s="767"/>
      <c r="D11" s="772">
        <v>126943000</v>
      </c>
      <c r="E11" s="752"/>
      <c r="F11" s="752"/>
      <c r="G11" s="754">
        <v>126943000</v>
      </c>
    </row>
    <row r="12" spans="1:8" ht="12.75" customHeight="1">
      <c r="A12" s="40" t="s">
        <v>736</v>
      </c>
      <c r="B12" s="170"/>
      <c r="C12" s="767"/>
      <c r="D12" s="772">
        <v>2195000</v>
      </c>
      <c r="E12" s="752"/>
      <c r="F12" s="752"/>
      <c r="G12" s="754">
        <v>2195000</v>
      </c>
    </row>
    <row r="13" spans="1:8" ht="12.75" customHeight="1">
      <c r="A13" s="93" t="s">
        <v>785</v>
      </c>
      <c r="B13" s="234"/>
      <c r="C13" s="244">
        <f>SUM(C7:C12)</f>
        <v>0</v>
      </c>
      <c r="D13" s="261">
        <f>SUM(D7:D12)</f>
        <v>945464000</v>
      </c>
      <c r="E13" s="74">
        <f>SUM(E7:E12)</f>
        <v>0</v>
      </c>
      <c r="F13" s="74">
        <f>SUM(F7:F12)</f>
        <v>0</v>
      </c>
      <c r="G13" s="146">
        <f>SUM(G7:G12)</f>
        <v>945464000</v>
      </c>
    </row>
    <row r="14" spans="1:8" ht="5.0999999999999996" customHeight="1">
      <c r="A14" s="43"/>
      <c r="B14" s="170"/>
      <c r="C14" s="135"/>
      <c r="D14" s="259"/>
      <c r="E14" s="45"/>
      <c r="F14" s="45"/>
      <c r="G14" s="145"/>
    </row>
    <row r="15" spans="1:8" ht="12.75" customHeight="1">
      <c r="A15" s="88" t="s">
        <v>565</v>
      </c>
      <c r="B15" s="170"/>
      <c r="C15" s="135"/>
      <c r="D15" s="259"/>
      <c r="E15" s="45"/>
      <c r="F15" s="45"/>
      <c r="G15" s="145"/>
    </row>
    <row r="16" spans="1:8" ht="12.75" customHeight="1">
      <c r="A16" s="40" t="s">
        <v>735</v>
      </c>
      <c r="B16" s="170"/>
      <c r="C16" s="767"/>
      <c r="D16" s="772"/>
      <c r="E16" s="752"/>
      <c r="F16" s="752"/>
      <c r="G16" s="754"/>
      <c r="H16" s="40"/>
    </row>
    <row r="17" spans="1:8" ht="12.75" customHeight="1">
      <c r="A17" s="40" t="s">
        <v>685</v>
      </c>
      <c r="B17" s="170"/>
      <c r="C17" s="767"/>
      <c r="D17" s="772"/>
      <c r="E17" s="752"/>
      <c r="F17" s="752"/>
      <c r="G17" s="754"/>
      <c r="H17" s="40"/>
    </row>
    <row r="18" spans="1:8" ht="12.75" customHeight="1">
      <c r="A18" s="40" t="s">
        <v>734</v>
      </c>
      <c r="B18" s="170"/>
      <c r="C18" s="767"/>
      <c r="D18" s="772">
        <v>105828000</v>
      </c>
      <c r="E18" s="752"/>
      <c r="F18" s="752"/>
      <c r="G18" s="754">
        <v>105828000</v>
      </c>
      <c r="H18" s="40"/>
    </row>
    <row r="19" spans="1:8" ht="12.75" customHeight="1">
      <c r="A19" s="40" t="s">
        <v>369</v>
      </c>
      <c r="B19" s="170"/>
      <c r="C19" s="767"/>
      <c r="D19" s="772"/>
      <c r="E19" s="752"/>
      <c r="F19" s="752"/>
      <c r="G19" s="754"/>
      <c r="H19" s="40"/>
    </row>
    <row r="20" spans="1:8" ht="12.75" customHeight="1">
      <c r="A20" s="40" t="s">
        <v>733</v>
      </c>
      <c r="B20" s="170"/>
      <c r="C20" s="767"/>
      <c r="D20" s="772">
        <v>126528000</v>
      </c>
      <c r="E20" s="752"/>
      <c r="F20" s="752"/>
      <c r="G20" s="754">
        <v>126528000</v>
      </c>
    </row>
    <row r="21" spans="1:8" ht="12.75" customHeight="1">
      <c r="A21" s="40" t="s">
        <v>877</v>
      </c>
      <c r="B21" s="170"/>
      <c r="C21" s="767"/>
      <c r="D21" s="772"/>
      <c r="E21" s="752"/>
      <c r="F21" s="752"/>
      <c r="G21" s="754"/>
      <c r="H21" s="40"/>
    </row>
    <row r="22" spans="1:8" ht="12.75" customHeight="1">
      <c r="A22" s="40" t="s">
        <v>577</v>
      </c>
      <c r="B22" s="170"/>
      <c r="C22" s="767"/>
      <c r="D22" s="772"/>
      <c r="E22" s="752"/>
      <c r="F22" s="752"/>
      <c r="G22" s="754"/>
      <c r="H22" s="40"/>
    </row>
    <row r="23" spans="1:8" ht="12.75" customHeight="1">
      <c r="A23" s="40" t="s">
        <v>578</v>
      </c>
      <c r="B23" s="170"/>
      <c r="C23" s="767"/>
      <c r="D23" s="772"/>
      <c r="E23" s="752"/>
      <c r="F23" s="752"/>
      <c r="G23" s="754"/>
      <c r="H23" s="40"/>
    </row>
    <row r="24" spans="1:8" ht="12.75" customHeight="1">
      <c r="A24" s="40" t="s">
        <v>971</v>
      </c>
      <c r="B24" s="170"/>
      <c r="C24" s="767"/>
      <c r="D24" s="772"/>
      <c r="E24" s="752"/>
      <c r="F24" s="752"/>
      <c r="G24" s="754"/>
      <c r="H24" s="40"/>
    </row>
    <row r="25" spans="1:8" ht="12.75" customHeight="1">
      <c r="A25" s="93" t="s">
        <v>784</v>
      </c>
      <c r="B25" s="234"/>
      <c r="C25" s="244">
        <f>SUM(C16:C24)</f>
        <v>0</v>
      </c>
      <c r="D25" s="261">
        <f>SUM(D16:D24)</f>
        <v>232356000</v>
      </c>
      <c r="E25" s="74">
        <f>SUM(E16:E24)</f>
        <v>0</v>
      </c>
      <c r="F25" s="74">
        <f>SUM(F16:F24)</f>
        <v>0</v>
      </c>
      <c r="G25" s="146">
        <f>SUM(G16:G24)</f>
        <v>232356000</v>
      </c>
      <c r="H25" s="40"/>
    </row>
    <row r="26" spans="1:8" ht="12.75" customHeight="1">
      <c r="A26" s="93" t="s">
        <v>952</v>
      </c>
      <c r="B26" s="234"/>
      <c r="C26" s="244">
        <f>C13+C25</f>
        <v>0</v>
      </c>
      <c r="D26" s="261">
        <f>D13+D25</f>
        <v>1177820000</v>
      </c>
      <c r="E26" s="74">
        <f>E13+E25</f>
        <v>0</v>
      </c>
      <c r="F26" s="74">
        <f>F13+F25</f>
        <v>0</v>
      </c>
      <c r="G26" s="146">
        <f>G13+G25</f>
        <v>1177820000</v>
      </c>
    </row>
    <row r="27" spans="1:8" ht="5.0999999999999996" customHeight="1">
      <c r="A27" s="43"/>
      <c r="B27" s="170"/>
      <c r="C27" s="135"/>
      <c r="D27" s="259"/>
      <c r="E27" s="45"/>
      <c r="F27" s="45"/>
      <c r="G27" s="145"/>
    </row>
    <row r="28" spans="1:8" ht="12.75" customHeight="1">
      <c r="A28" s="36" t="s">
        <v>566</v>
      </c>
      <c r="B28" s="170"/>
      <c r="C28" s="135"/>
      <c r="D28" s="259"/>
      <c r="E28" s="45"/>
      <c r="F28" s="45"/>
      <c r="G28" s="145"/>
    </row>
    <row r="29" spans="1:8" ht="12.75" customHeight="1">
      <c r="A29" s="88" t="s">
        <v>686</v>
      </c>
      <c r="B29" s="176"/>
      <c r="C29" s="135"/>
      <c r="D29" s="259"/>
      <c r="E29" s="45"/>
      <c r="F29" s="45"/>
      <c r="G29" s="145"/>
    </row>
    <row r="30" spans="1:8" ht="12.75" customHeight="1">
      <c r="A30" s="40" t="s">
        <v>915</v>
      </c>
      <c r="B30" s="170"/>
      <c r="C30" s="767"/>
      <c r="D30" s="772"/>
      <c r="E30" s="752"/>
      <c r="F30" s="752"/>
      <c r="G30" s="754"/>
    </row>
    <row r="31" spans="1:8" ht="12.75" customHeight="1">
      <c r="A31" s="40" t="s">
        <v>953</v>
      </c>
      <c r="B31" s="170"/>
      <c r="C31" s="767"/>
      <c r="D31" s="772">
        <v>61000000</v>
      </c>
      <c r="E31" s="752"/>
      <c r="F31" s="752"/>
      <c r="G31" s="754">
        <v>61000000</v>
      </c>
    </row>
    <row r="32" spans="1:8" ht="12.75" customHeight="1">
      <c r="A32" s="40" t="s">
        <v>732</v>
      </c>
      <c r="B32" s="170"/>
      <c r="C32" s="767"/>
      <c r="D32" s="772">
        <v>15624000</v>
      </c>
      <c r="E32" s="752"/>
      <c r="F32" s="752"/>
      <c r="G32" s="754">
        <v>15624000</v>
      </c>
    </row>
    <row r="33" spans="1:7" ht="12.75" customHeight="1">
      <c r="A33" s="40" t="s">
        <v>963</v>
      </c>
      <c r="B33" s="170"/>
      <c r="C33" s="767"/>
      <c r="D33" s="772">
        <v>115867000</v>
      </c>
      <c r="E33" s="752"/>
      <c r="F33" s="752"/>
      <c r="G33" s="754">
        <v>115867000</v>
      </c>
    </row>
    <row r="34" spans="1:7" ht="12.75" customHeight="1">
      <c r="A34" s="40" t="s">
        <v>687</v>
      </c>
      <c r="B34" s="170"/>
      <c r="C34" s="767"/>
      <c r="D34" s="772"/>
      <c r="E34" s="752"/>
      <c r="F34" s="752"/>
      <c r="G34" s="754"/>
    </row>
    <row r="35" spans="1:7" ht="12.75" customHeight="1">
      <c r="A35" s="93" t="s">
        <v>570</v>
      </c>
      <c r="B35" s="234"/>
      <c r="C35" s="244">
        <f>SUM(C30:C34)</f>
        <v>0</v>
      </c>
      <c r="D35" s="261">
        <f>SUM(D30:D34)</f>
        <v>192491000</v>
      </c>
      <c r="E35" s="74">
        <f>SUM(E30:E34)</f>
        <v>0</v>
      </c>
      <c r="F35" s="74">
        <f>SUM(F30:F34)</f>
        <v>0</v>
      </c>
      <c r="G35" s="146">
        <f>SUM(G30:G34)</f>
        <v>192491000</v>
      </c>
    </row>
    <row r="36" spans="1:7" ht="5.0999999999999996" customHeight="1">
      <c r="A36" s="43"/>
      <c r="B36" s="170"/>
      <c r="C36" s="135"/>
      <c r="D36" s="259"/>
      <c r="E36" s="45"/>
      <c r="F36" s="45"/>
      <c r="G36" s="145"/>
    </row>
    <row r="37" spans="1:7" ht="12.75" customHeight="1">
      <c r="A37" s="88" t="s">
        <v>568</v>
      </c>
      <c r="B37" s="170"/>
      <c r="C37" s="135"/>
      <c r="D37" s="259"/>
      <c r="E37" s="45"/>
      <c r="F37" s="45"/>
      <c r="G37" s="145"/>
    </row>
    <row r="38" spans="1:7" ht="12.75" customHeight="1">
      <c r="A38" s="40" t="s">
        <v>953</v>
      </c>
      <c r="B38" s="170"/>
      <c r="C38" s="767"/>
      <c r="D38" s="772">
        <v>14882000</v>
      </c>
      <c r="E38" s="752"/>
      <c r="F38" s="752"/>
      <c r="G38" s="754">
        <v>14882000</v>
      </c>
    </row>
    <row r="39" spans="1:7" ht="12.75" customHeight="1">
      <c r="A39" s="40" t="s">
        <v>687</v>
      </c>
      <c r="B39" s="170"/>
      <c r="C39" s="767"/>
      <c r="D39" s="772">
        <v>1700000</v>
      </c>
      <c r="E39" s="752"/>
      <c r="F39" s="752"/>
      <c r="G39" s="754">
        <v>1700000</v>
      </c>
    </row>
    <row r="40" spans="1:7" ht="12.75" customHeight="1">
      <c r="A40" s="93" t="s">
        <v>569</v>
      </c>
      <c r="B40" s="234"/>
      <c r="C40" s="244">
        <f>SUM(C38:C39)</f>
        <v>0</v>
      </c>
      <c r="D40" s="261">
        <f>SUM(D38:D39)</f>
        <v>16582000</v>
      </c>
      <c r="E40" s="74">
        <f>SUM(E38:E39)</f>
        <v>0</v>
      </c>
      <c r="F40" s="74">
        <f>SUM(F38:F39)</f>
        <v>0</v>
      </c>
      <c r="G40" s="146">
        <f>SUM(G38:G39)</f>
        <v>16582000</v>
      </c>
    </row>
    <row r="41" spans="1:7" ht="12.75" customHeight="1">
      <c r="A41" s="93" t="s">
        <v>1</v>
      </c>
      <c r="B41" s="234"/>
      <c r="C41" s="244">
        <f>C35+C40</f>
        <v>0</v>
      </c>
      <c r="D41" s="261">
        <f>D35+D40</f>
        <v>209073000</v>
      </c>
      <c r="E41" s="74">
        <f>E35+E40</f>
        <v>0</v>
      </c>
      <c r="F41" s="74">
        <f>F35+F40</f>
        <v>0</v>
      </c>
      <c r="G41" s="146">
        <f>G35+G40</f>
        <v>209073000</v>
      </c>
    </row>
    <row r="42" spans="1:7" ht="5.0999999999999996" customHeight="1">
      <c r="A42" s="43"/>
      <c r="B42" s="170"/>
      <c r="C42" s="135"/>
      <c r="D42" s="259"/>
      <c r="E42" s="45"/>
      <c r="F42" s="45"/>
      <c r="G42" s="145"/>
    </row>
    <row r="43" spans="1:7" ht="12.75" customHeight="1">
      <c r="A43" s="95" t="s">
        <v>951</v>
      </c>
      <c r="B43" s="120">
        <v>2</v>
      </c>
      <c r="C43" s="245">
        <f>C26-C41</f>
        <v>0</v>
      </c>
      <c r="D43" s="266">
        <f>D26-D41</f>
        <v>968747000</v>
      </c>
      <c r="E43" s="77">
        <f>E26-E41</f>
        <v>0</v>
      </c>
      <c r="F43" s="77">
        <f>F26-F41</f>
        <v>0</v>
      </c>
      <c r="G43" s="235">
        <f>G26-G41</f>
        <v>968747000</v>
      </c>
    </row>
    <row r="44" spans="1:7" ht="5.0999999999999996" customHeight="1">
      <c r="A44" s="43"/>
      <c r="B44" s="170"/>
      <c r="C44" s="135"/>
      <c r="D44" s="259"/>
      <c r="E44" s="45"/>
      <c r="F44" s="45"/>
      <c r="G44" s="145"/>
    </row>
    <row r="45" spans="1:7" ht="12.75" customHeight="1">
      <c r="A45" s="36" t="s">
        <v>786</v>
      </c>
      <c r="B45" s="170"/>
      <c r="C45" s="135"/>
      <c r="D45" s="259"/>
      <c r="E45" s="45"/>
      <c r="F45" s="45"/>
      <c r="G45" s="145"/>
    </row>
    <row r="46" spans="1:7" ht="12.75" customHeight="1">
      <c r="A46" s="40" t="s">
        <v>713</v>
      </c>
      <c r="B46" s="170"/>
      <c r="C46" s="767"/>
      <c r="D46" s="772">
        <v>922347000</v>
      </c>
      <c r="E46" s="752"/>
      <c r="F46" s="752"/>
      <c r="G46" s="754">
        <v>922347000</v>
      </c>
    </row>
    <row r="47" spans="1:7" ht="12.75" customHeight="1">
      <c r="A47" s="40" t="s">
        <v>1091</v>
      </c>
      <c r="B47" s="170"/>
      <c r="C47" s="767"/>
      <c r="D47" s="772">
        <v>46400000</v>
      </c>
      <c r="E47" s="752"/>
      <c r="F47" s="752"/>
      <c r="G47" s="754">
        <v>46400000</v>
      </c>
    </row>
    <row r="48" spans="1:7" ht="12.75" customHeight="1">
      <c r="A48" s="54" t="s">
        <v>779</v>
      </c>
      <c r="B48" s="237">
        <v>2</v>
      </c>
      <c r="C48" s="113">
        <f>SUM(C46:C47)</f>
        <v>0</v>
      </c>
      <c r="D48" s="272">
        <f>SUM(D46:D47)</f>
        <v>968747000</v>
      </c>
      <c r="E48" s="56">
        <f>SUM(E46:E47)</f>
        <v>0</v>
      </c>
      <c r="F48" s="56">
        <f>SUM(F46:F47)</f>
        <v>0</v>
      </c>
      <c r="G48" s="236">
        <f>SUM(G46:G47)</f>
        <v>968747000</v>
      </c>
    </row>
    <row r="49" spans="1:7" ht="12.75" customHeight="1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>
      <c r="A50" s="997" t="s">
        <v>182</v>
      </c>
      <c r="B50" s="997"/>
      <c r="C50" s="997"/>
      <c r="D50" s="997"/>
      <c r="E50" s="997"/>
      <c r="F50" s="997"/>
      <c r="G50" s="997"/>
    </row>
    <row r="51" spans="1:7" ht="13.5" customHeight="1">
      <c r="A51" s="81" t="s">
        <v>1085</v>
      </c>
      <c r="B51" s="65"/>
      <c r="C51" s="80"/>
      <c r="D51" s="80"/>
      <c r="E51" s="80"/>
      <c r="F51" s="80"/>
      <c r="G51" s="80"/>
    </row>
    <row r="52" spans="1:7" ht="11.25" customHeight="1">
      <c r="A52" s="81"/>
      <c r="B52" s="65"/>
      <c r="C52" s="80"/>
      <c r="D52" s="80"/>
      <c r="E52" s="80"/>
      <c r="F52" s="80"/>
      <c r="G52" s="80"/>
    </row>
    <row r="53" spans="1:7" ht="11.25" customHeight="1">
      <c r="A53" s="81"/>
      <c r="B53" s="65"/>
      <c r="C53" s="80"/>
      <c r="D53" s="80"/>
      <c r="E53" s="80"/>
      <c r="F53" s="80"/>
      <c r="G53" s="80"/>
    </row>
    <row r="54" spans="1:7" ht="11.25" customHeight="1">
      <c r="A54" s="66" t="s">
        <v>885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>
      <c r="A55" s="68"/>
      <c r="B55" s="59"/>
      <c r="C55" s="68"/>
      <c r="D55" s="68"/>
      <c r="E55" s="68"/>
      <c r="F55" s="68"/>
      <c r="G55" s="68"/>
    </row>
    <row r="56" spans="1:7" ht="11.25" customHeight="1">
      <c r="B56" s="25"/>
    </row>
    <row r="57" spans="1:7" ht="11.25" customHeight="1">
      <c r="B57" s="25"/>
    </row>
    <row r="58" spans="1:7" ht="11.25" customHeight="1">
      <c r="B58" s="25"/>
    </row>
    <row r="59" spans="1:7" ht="11.25" customHeight="1">
      <c r="B59" s="25"/>
    </row>
    <row r="60" spans="1:7" ht="11.25" customHeight="1">
      <c r="B60" s="25"/>
    </row>
    <row r="61" spans="1:7" ht="11.25" customHeight="1">
      <c r="B61" s="25"/>
    </row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</sheetData>
  <sheetProtection password="C646" sheet="1" objects="1" scenarios="1"/>
  <mergeCells count="4">
    <mergeCell ref="A2:A3"/>
    <mergeCell ref="B2:B3"/>
    <mergeCell ref="A50:G50"/>
    <mergeCell ref="A1:G1"/>
  </mergeCells>
  <phoneticPr fontId="3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79"/>
  <sheetViews>
    <sheetView showGridLines="0" tabSelected="1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L25" sqref="L25"/>
    </sheetView>
  </sheetViews>
  <sheetFormatPr defaultRowHeight="12.7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"&amp;S71F&amp; " - "&amp;date</f>
        <v>FS194 Maluti-a-Phofung - Table C7 Consolidated Monthly Budget Statement - Cash Flow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821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723</v>
      </c>
      <c r="K4" s="224"/>
    </row>
    <row r="5" spans="1:11" ht="12.75" customHeight="1">
      <c r="A5" s="273" t="s">
        <v>1015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>
      <c r="A6" s="88" t="s">
        <v>1083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40" t="s">
        <v>858</v>
      </c>
      <c r="B7" s="170"/>
      <c r="C7" s="767"/>
      <c r="D7" s="764">
        <v>708454478.03999996</v>
      </c>
      <c r="E7" s="752"/>
      <c r="F7" s="752">
        <v>55335803.219999999</v>
      </c>
      <c r="G7" s="752">
        <f>92222122.35+101967527.08+104643327.52+51531219.53+35097822.19+19656164.59+55335803.22</f>
        <v>460453986.48000002</v>
      </c>
      <c r="H7" s="752"/>
      <c r="I7" s="45">
        <f>G7-H7</f>
        <v>460453986.48000002</v>
      </c>
      <c r="J7" s="334" t="e">
        <f>IF(I7=0,"",I7/H7)</f>
        <v>#DIV/0!</v>
      </c>
      <c r="K7" s="764">
        <v>708454478.03999996</v>
      </c>
    </row>
    <row r="8" spans="1:11" ht="12.75" customHeight="1">
      <c r="A8" s="87" t="s">
        <v>859</v>
      </c>
      <c r="B8" s="172"/>
      <c r="C8" s="767"/>
      <c r="D8" s="764">
        <f>348037000+77723000</f>
        <v>425760000</v>
      </c>
      <c r="E8" s="752"/>
      <c r="F8" s="752">
        <v>638416.67000000004</v>
      </c>
      <c r="G8" s="752">
        <f>144918000+800000+6198917+6476916.67+12953833.34+2553000+112662000+6476916.67+6476916.67+638416.67</f>
        <v>300154917.02000004</v>
      </c>
      <c r="H8" s="752"/>
      <c r="I8" s="45">
        <f>G8-H8</f>
        <v>300154917.02000004</v>
      </c>
      <c r="J8" s="334" t="e">
        <f t="shared" ref="J8:J16" si="0">IF(I8=0,"",I8/H8)</f>
        <v>#DIV/0!</v>
      </c>
      <c r="K8" s="764">
        <f>348037000+77723000</f>
        <v>425760000</v>
      </c>
    </row>
    <row r="9" spans="1:11" ht="12.75" customHeight="1">
      <c r="A9" s="87" t="s">
        <v>860</v>
      </c>
      <c r="B9" s="172"/>
      <c r="C9" s="767"/>
      <c r="D9" s="764">
        <f>207841759+65682000</f>
        <v>273523759</v>
      </c>
      <c r="E9" s="752"/>
      <c r="F9" s="752">
        <v>2275000</v>
      </c>
      <c r="G9" s="752">
        <f>85875108.06+725000+4379498.31+8061000+87954501.54+4500000+2275000</f>
        <v>193770107.91000003</v>
      </c>
      <c r="H9" s="752"/>
      <c r="I9" s="45">
        <f>G9-H9</f>
        <v>193770107.91000003</v>
      </c>
      <c r="J9" s="334" t="e">
        <f t="shared" si="0"/>
        <v>#DIV/0!</v>
      </c>
      <c r="K9" s="764">
        <f>207841759+65682000</f>
        <v>273523759</v>
      </c>
    </row>
    <row r="10" spans="1:11" ht="12.75" customHeight="1">
      <c r="A10" s="87" t="s">
        <v>1069</v>
      </c>
      <c r="B10" s="172"/>
      <c r="C10" s="767"/>
      <c r="D10" s="764">
        <f>2423545+17127000</f>
        <v>19550545</v>
      </c>
      <c r="E10" s="752"/>
      <c r="F10" s="752"/>
      <c r="G10" s="752">
        <v>0</v>
      </c>
      <c r="H10" s="752"/>
      <c r="I10" s="45">
        <f>G10-H10</f>
        <v>0</v>
      </c>
      <c r="J10" s="334" t="str">
        <f t="shared" si="0"/>
        <v/>
      </c>
      <c r="K10" s="764">
        <f>2423545+17127000</f>
        <v>19550545</v>
      </c>
    </row>
    <row r="11" spans="1:11" ht="12.75" customHeight="1">
      <c r="A11" s="87" t="s">
        <v>820</v>
      </c>
      <c r="B11" s="172"/>
      <c r="C11" s="767"/>
      <c r="D11" s="764"/>
      <c r="E11" s="752"/>
      <c r="F11" s="752"/>
      <c r="G11" s="752"/>
      <c r="H11" s="752"/>
      <c r="I11" s="45">
        <f>G11-H11</f>
        <v>0</v>
      </c>
      <c r="J11" s="334" t="str">
        <f t="shared" si="0"/>
        <v/>
      </c>
      <c r="K11" s="764"/>
    </row>
    <row r="12" spans="1:11" ht="12.75" customHeight="1">
      <c r="A12" s="89" t="s">
        <v>1084</v>
      </c>
      <c r="B12" s="172"/>
      <c r="C12" s="135"/>
      <c r="D12" s="47"/>
      <c r="E12" s="45"/>
      <c r="F12" s="45"/>
      <c r="G12" s="45"/>
      <c r="H12" s="45"/>
      <c r="I12" s="45"/>
      <c r="J12" s="334"/>
      <c r="K12" s="145"/>
    </row>
    <row r="13" spans="1:11" ht="12.75" customHeight="1">
      <c r="A13" s="87" t="s">
        <v>861</v>
      </c>
      <c r="B13" s="172"/>
      <c r="C13" s="767"/>
      <c r="D13" s="764">
        <f>-1059424466.85</f>
        <v>-1059424466.85</v>
      </c>
      <c r="E13" s="752"/>
      <c r="F13" s="752">
        <v>-49629977.600000001</v>
      </c>
      <c r="G13" s="752">
        <f>-345838363.29-111845859.64-9806383-88514305.16-102750528.29-9948994-153174725.22-104687044.08-49629977.6</f>
        <v>-976196180.28000009</v>
      </c>
      <c r="H13" s="752"/>
      <c r="I13" s="45">
        <f>H13-G13</f>
        <v>976196180.28000009</v>
      </c>
      <c r="J13" s="334" t="e">
        <f t="shared" si="0"/>
        <v>#DIV/0!</v>
      </c>
      <c r="K13" s="764">
        <f>-1059424466.85</f>
        <v>-1059424466.85</v>
      </c>
    </row>
    <row r="14" spans="1:11" ht="12.75" customHeight="1">
      <c r="A14" s="87" t="s">
        <v>563</v>
      </c>
      <c r="B14" s="172"/>
      <c r="C14" s="767"/>
      <c r="D14" s="764">
        <v>-16000000</v>
      </c>
      <c r="E14" s="752"/>
      <c r="F14" s="752">
        <v>-65119.91</v>
      </c>
      <c r="G14" s="752">
        <f>-42609.54-340624.94-337273.92-24830.29-22649.24-21438.78-65119.91</f>
        <v>-854546.62</v>
      </c>
      <c r="H14" s="752"/>
      <c r="I14" s="45">
        <f>H14-G14</f>
        <v>854546.62</v>
      </c>
      <c r="J14" s="334" t="e">
        <f t="shared" si="0"/>
        <v>#DIV/0!</v>
      </c>
      <c r="K14" s="764">
        <v>-16000000</v>
      </c>
    </row>
    <row r="15" spans="1:11" ht="12.75" customHeight="1">
      <c r="A15" s="87" t="s">
        <v>75</v>
      </c>
      <c r="B15" s="172"/>
      <c r="C15" s="767"/>
      <c r="D15" s="764">
        <f>-77723300</f>
        <v>-77723300</v>
      </c>
      <c r="E15" s="752"/>
      <c r="F15" s="752">
        <v>-638416.67000000004</v>
      </c>
      <c r="G15" s="752">
        <f>-19430750.01-12953833.34-6476916.67-6476916.67-638416.67</f>
        <v>-45976833.360000007</v>
      </c>
      <c r="H15" s="752"/>
      <c r="I15" s="45">
        <f>H15-G15</f>
        <v>45976833.360000007</v>
      </c>
      <c r="J15" s="334" t="e">
        <f t="shared" si="0"/>
        <v>#DIV/0!</v>
      </c>
      <c r="K15" s="764">
        <f>-77723300</f>
        <v>-77723300</v>
      </c>
    </row>
    <row r="16" spans="1:11" ht="12.75" customHeight="1">
      <c r="A16" s="93" t="s">
        <v>1073</v>
      </c>
      <c r="B16" s="234"/>
      <c r="C16" s="244">
        <f t="shared" ref="C16:H16" si="1">SUM(C7:C11)+SUM(C13:C15)</f>
        <v>0</v>
      </c>
      <c r="D16" s="75">
        <f t="shared" si="1"/>
        <v>274141015.19000006</v>
      </c>
      <c r="E16" s="74">
        <f t="shared" si="1"/>
        <v>0</v>
      </c>
      <c r="F16" s="74">
        <f t="shared" si="1"/>
        <v>7915705.7100000009</v>
      </c>
      <c r="G16" s="74">
        <f t="shared" si="1"/>
        <v>-68648548.850000024</v>
      </c>
      <c r="H16" s="74">
        <f t="shared" si="1"/>
        <v>0</v>
      </c>
      <c r="I16" s="74">
        <f>SUM(I7:I11)-SUM(I13:I15)</f>
        <v>-68648548.850000024</v>
      </c>
      <c r="J16" s="335" t="e">
        <f t="shared" si="0"/>
        <v>#DIV/0!</v>
      </c>
      <c r="K16" s="146">
        <f>SUM(K7:K11)+SUM(K13:K15)</f>
        <v>274141015.19000006</v>
      </c>
    </row>
    <row r="17" spans="1:11" ht="5.0999999999999996" customHeight="1">
      <c r="A17" s="43"/>
      <c r="B17" s="170"/>
      <c r="C17" s="135"/>
      <c r="D17" s="47"/>
      <c r="E17" s="45"/>
      <c r="F17" s="45"/>
      <c r="G17" s="45"/>
      <c r="H17" s="45"/>
      <c r="I17" s="45"/>
      <c r="J17" s="45"/>
      <c r="K17" s="145"/>
    </row>
    <row r="18" spans="1:11" ht="12.75" customHeight="1">
      <c r="A18" s="88" t="s">
        <v>886</v>
      </c>
      <c r="B18" s="170"/>
      <c r="C18" s="135"/>
      <c r="D18" s="47"/>
      <c r="E18" s="45"/>
      <c r="F18" s="45"/>
      <c r="G18" s="45"/>
      <c r="H18" s="45"/>
      <c r="I18" s="45"/>
      <c r="J18" s="45"/>
      <c r="K18" s="145"/>
    </row>
    <row r="19" spans="1:11" ht="12.75" customHeight="1">
      <c r="A19" s="88" t="s">
        <v>1083</v>
      </c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>
      <c r="A20" s="87" t="s">
        <v>1112</v>
      </c>
      <c r="B20" s="170"/>
      <c r="C20" s="767"/>
      <c r="D20" s="764">
        <v>1963000</v>
      </c>
      <c r="E20" s="752">
        <v>1963000</v>
      </c>
      <c r="F20" s="752"/>
      <c r="G20" s="752"/>
      <c r="H20" s="752">
        <v>1963000</v>
      </c>
      <c r="I20" s="45">
        <f>G20-H20</f>
        <v>-1963000</v>
      </c>
      <c r="J20" s="334">
        <f t="shared" ref="J20:J26" si="2">IF(I20=0,"",I20/H20)</f>
        <v>-1</v>
      </c>
      <c r="K20" s="754">
        <v>1963000</v>
      </c>
    </row>
    <row r="21" spans="1:11" ht="12.75" customHeight="1">
      <c r="A21" s="40" t="s">
        <v>549</v>
      </c>
      <c r="B21" s="170"/>
      <c r="C21" s="767"/>
      <c r="D21" s="764">
        <v>-6985000</v>
      </c>
      <c r="E21" s="752">
        <v>-6985000</v>
      </c>
      <c r="F21" s="752"/>
      <c r="G21" s="752"/>
      <c r="H21" s="752">
        <v>-6985000</v>
      </c>
      <c r="I21" s="45">
        <f>G21-H21</f>
        <v>6985000</v>
      </c>
      <c r="J21" s="334">
        <f t="shared" si="2"/>
        <v>-1</v>
      </c>
      <c r="K21" s="754">
        <v>-6985000</v>
      </c>
    </row>
    <row r="22" spans="1:11" ht="12.75" customHeight="1">
      <c r="A22" s="40" t="s">
        <v>1071</v>
      </c>
      <c r="B22" s="176"/>
      <c r="C22" s="767"/>
      <c r="D22" s="764">
        <v>178000</v>
      </c>
      <c r="E22" s="752">
        <v>178000</v>
      </c>
      <c r="F22" s="752"/>
      <c r="G22" s="752"/>
      <c r="H22" s="752">
        <v>178000</v>
      </c>
      <c r="I22" s="45">
        <f>G22-H22</f>
        <v>-178000</v>
      </c>
      <c r="J22" s="334">
        <f t="shared" si="2"/>
        <v>-1</v>
      </c>
      <c r="K22" s="754">
        <v>178000</v>
      </c>
    </row>
    <row r="23" spans="1:11" ht="12.75" customHeight="1">
      <c r="A23" s="40" t="s">
        <v>1072</v>
      </c>
      <c r="B23" s="170"/>
      <c r="C23" s="767"/>
      <c r="D23" s="764">
        <v>23895000</v>
      </c>
      <c r="E23" s="752">
        <v>23895201</v>
      </c>
      <c r="F23" s="752"/>
      <c r="G23" s="752"/>
      <c r="H23" s="752">
        <v>23895201</v>
      </c>
      <c r="I23" s="45">
        <f>G23-H23</f>
        <v>-23895201</v>
      </c>
      <c r="J23" s="334">
        <f t="shared" si="2"/>
        <v>-1</v>
      </c>
      <c r="K23" s="754">
        <v>23895201</v>
      </c>
    </row>
    <row r="24" spans="1:11" ht="12.75" customHeight="1">
      <c r="A24" s="88" t="s">
        <v>1084</v>
      </c>
      <c r="B24" s="170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40" t="s">
        <v>862</v>
      </c>
      <c r="B25" s="170"/>
      <c r="C25" s="767"/>
      <c r="D25" s="764"/>
      <c r="E25" s="752"/>
      <c r="F25" s="752"/>
      <c r="G25" s="752"/>
      <c r="H25" s="752"/>
      <c r="I25" s="45">
        <f>H25-G25</f>
        <v>0</v>
      </c>
      <c r="J25" s="334" t="str">
        <f t="shared" si="2"/>
        <v/>
      </c>
      <c r="K25" s="754"/>
    </row>
    <row r="26" spans="1:11" ht="12.75" customHeight="1">
      <c r="A26" s="93" t="s">
        <v>1074</v>
      </c>
      <c r="B26" s="234"/>
      <c r="C26" s="553">
        <f t="shared" ref="C26:H26" si="3">SUM(C20:C23)+C25</f>
        <v>0</v>
      </c>
      <c r="D26" s="75">
        <f>SUM(D20:D23)+D25</f>
        <v>19051000</v>
      </c>
      <c r="E26" s="74">
        <f t="shared" si="3"/>
        <v>19051201</v>
      </c>
      <c r="F26" s="74">
        <f t="shared" si="3"/>
        <v>0</v>
      </c>
      <c r="G26" s="74">
        <f t="shared" si="3"/>
        <v>0</v>
      </c>
      <c r="H26" s="74">
        <f t="shared" si="3"/>
        <v>19051201</v>
      </c>
      <c r="I26" s="74">
        <f>H26-G26</f>
        <v>19051201</v>
      </c>
      <c r="J26" s="335">
        <f t="shared" si="2"/>
        <v>1</v>
      </c>
      <c r="K26" s="146">
        <f>SUM(K20:K23)+K25</f>
        <v>19051201</v>
      </c>
    </row>
    <row r="27" spans="1:11" ht="5.0999999999999996" customHeight="1">
      <c r="A27" s="43"/>
      <c r="B27" s="170"/>
      <c r="C27" s="135"/>
      <c r="D27" s="47"/>
      <c r="E27" s="45"/>
      <c r="F27" s="45"/>
      <c r="G27" s="45"/>
      <c r="H27" s="45"/>
      <c r="I27" s="45"/>
      <c r="J27" s="45"/>
      <c r="K27" s="145"/>
    </row>
    <row r="28" spans="1:11" ht="12.75" customHeight="1">
      <c r="A28" s="88" t="s">
        <v>914</v>
      </c>
      <c r="B28" s="170"/>
      <c r="C28" s="135"/>
      <c r="D28" s="47"/>
      <c r="E28" s="45"/>
      <c r="F28" s="45"/>
      <c r="G28" s="45"/>
      <c r="H28" s="45"/>
      <c r="I28" s="45"/>
      <c r="J28" s="45"/>
      <c r="K28" s="145"/>
    </row>
    <row r="29" spans="1:11" ht="12.75" customHeight="1">
      <c r="A29" s="88" t="s">
        <v>1083</v>
      </c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>
      <c r="A30" s="40" t="s">
        <v>1087</v>
      </c>
      <c r="B30" s="170"/>
      <c r="C30" s="767"/>
      <c r="D30" s="764">
        <v>-20000000</v>
      </c>
      <c r="E30" s="752">
        <v>-20000000</v>
      </c>
      <c r="F30" s="752"/>
      <c r="G30" s="752"/>
      <c r="H30" s="752">
        <v>-20000000</v>
      </c>
      <c r="I30" s="45">
        <f>G30-H30</f>
        <v>20000000</v>
      </c>
      <c r="J30" s="334">
        <f t="shared" ref="J30:J35" si="4">IF(I30=0,"",I30/H30)</f>
        <v>-1</v>
      </c>
      <c r="K30" s="754">
        <v>-20000000</v>
      </c>
    </row>
    <row r="31" spans="1:11" ht="12.75" customHeight="1">
      <c r="A31" s="40" t="s">
        <v>1150</v>
      </c>
      <c r="B31" s="170"/>
      <c r="C31" s="767"/>
      <c r="D31" s="764">
        <v>-174000000</v>
      </c>
      <c r="E31" s="752">
        <v>-174000000</v>
      </c>
      <c r="F31" s="752"/>
      <c r="G31" s="752"/>
      <c r="H31" s="752">
        <v>-174000000</v>
      </c>
      <c r="I31" s="45">
        <f>G31-H31</f>
        <v>174000000</v>
      </c>
      <c r="J31" s="334">
        <f t="shared" si="4"/>
        <v>-1</v>
      </c>
      <c r="K31" s="754">
        <v>-174000000</v>
      </c>
    </row>
    <row r="32" spans="1:11" ht="12.75" customHeight="1">
      <c r="A32" s="40" t="s">
        <v>76</v>
      </c>
      <c r="B32" s="170"/>
      <c r="C32" s="767"/>
      <c r="D32" s="764">
        <v>3785000</v>
      </c>
      <c r="E32" s="752">
        <v>3785000</v>
      </c>
      <c r="F32" s="752"/>
      <c r="G32" s="752"/>
      <c r="H32" s="752">
        <v>3785000</v>
      </c>
      <c r="I32" s="45">
        <f>G32-H32</f>
        <v>-3785000</v>
      </c>
      <c r="J32" s="334">
        <f t="shared" si="4"/>
        <v>-1</v>
      </c>
      <c r="K32" s="754">
        <v>3785000</v>
      </c>
    </row>
    <row r="33" spans="1:11" ht="12.75" customHeight="1">
      <c r="A33" s="88" t="s">
        <v>1084</v>
      </c>
      <c r="B33" s="170"/>
      <c r="C33" s="135"/>
      <c r="D33" s="47"/>
      <c r="E33" s="45"/>
      <c r="F33" s="45"/>
      <c r="G33" s="45"/>
      <c r="H33" s="45"/>
      <c r="I33" s="45"/>
      <c r="J33" s="334" t="str">
        <f t="shared" si="4"/>
        <v/>
      </c>
      <c r="K33" s="145"/>
    </row>
    <row r="34" spans="1:11" ht="12.75" customHeight="1">
      <c r="A34" s="40" t="s">
        <v>1086</v>
      </c>
      <c r="B34" s="170"/>
      <c r="C34" s="767"/>
      <c r="D34" s="764"/>
      <c r="E34" s="752"/>
      <c r="F34" s="752"/>
      <c r="G34" s="752"/>
      <c r="H34" s="752"/>
      <c r="I34" s="45">
        <f>H34-G34</f>
        <v>0</v>
      </c>
      <c r="J34" s="334" t="str">
        <f t="shared" si="4"/>
        <v/>
      </c>
      <c r="K34" s="754"/>
    </row>
    <row r="35" spans="1:11" ht="12.75" customHeight="1">
      <c r="A35" s="93" t="s">
        <v>1075</v>
      </c>
      <c r="B35" s="234"/>
      <c r="C35" s="553">
        <f t="shared" ref="C35:H35" si="5">SUM(C30:C32)+C34</f>
        <v>0</v>
      </c>
      <c r="D35" s="75">
        <f t="shared" si="5"/>
        <v>-190215000</v>
      </c>
      <c r="E35" s="74">
        <f t="shared" si="5"/>
        <v>-190215000</v>
      </c>
      <c r="F35" s="74">
        <f t="shared" si="5"/>
        <v>0</v>
      </c>
      <c r="G35" s="74">
        <f t="shared" si="5"/>
        <v>0</v>
      </c>
      <c r="H35" s="74">
        <f t="shared" si="5"/>
        <v>-190215000</v>
      </c>
      <c r="I35" s="74">
        <f>H35-G35</f>
        <v>-190215000</v>
      </c>
      <c r="J35" s="335">
        <f t="shared" si="4"/>
        <v>1</v>
      </c>
      <c r="K35" s="146">
        <f>SUM(K30:K32)+K34</f>
        <v>-190215000</v>
      </c>
    </row>
    <row r="36" spans="1:11" ht="5.0999999999999996" customHeight="1">
      <c r="A36" s="43"/>
      <c r="B36" s="170"/>
      <c r="C36" s="135"/>
      <c r="D36" s="47"/>
      <c r="E36" s="45"/>
      <c r="F36" s="45"/>
      <c r="G36" s="45"/>
      <c r="H36" s="45"/>
      <c r="I36" s="274"/>
      <c r="J36" s="274"/>
      <c r="K36" s="145"/>
    </row>
    <row r="37" spans="1:11" ht="12.75" customHeight="1">
      <c r="A37" s="88" t="s">
        <v>1088</v>
      </c>
      <c r="B37" s="170"/>
      <c r="C37" s="110">
        <f t="shared" ref="C37:H37" si="6">C16+C26+C35</f>
        <v>0</v>
      </c>
      <c r="D37" s="52">
        <f t="shared" si="6"/>
        <v>102977015.19000006</v>
      </c>
      <c r="E37" s="51">
        <f t="shared" si="6"/>
        <v>-171163799</v>
      </c>
      <c r="F37" s="51">
        <f t="shared" si="6"/>
        <v>7915705.7100000009</v>
      </c>
      <c r="G37" s="51">
        <f t="shared" si="6"/>
        <v>-68648548.850000024</v>
      </c>
      <c r="H37" s="51">
        <f t="shared" si="6"/>
        <v>-171163799</v>
      </c>
      <c r="I37" s="331"/>
      <c r="J37" s="331"/>
      <c r="K37" s="195">
        <f>K16+K26+K35</f>
        <v>102977216.19000006</v>
      </c>
    </row>
    <row r="38" spans="1:11" ht="12.75" customHeight="1">
      <c r="A38" s="40" t="s">
        <v>632</v>
      </c>
      <c r="B38" s="170"/>
      <c r="C38" s="767"/>
      <c r="D38" s="764">
        <v>13356000</v>
      </c>
      <c r="E38" s="752">
        <v>13355678</v>
      </c>
      <c r="F38" s="274"/>
      <c r="G38" s="752"/>
      <c r="H38" s="45">
        <f>D38</f>
        <v>13356000</v>
      </c>
      <c r="I38" s="274"/>
      <c r="J38" s="274"/>
      <c r="K38" s="392">
        <f>G38</f>
        <v>0</v>
      </c>
    </row>
    <row r="39" spans="1:11" ht="12.75" customHeight="1">
      <c r="A39" s="130" t="s">
        <v>60</v>
      </c>
      <c r="B39" s="120"/>
      <c r="C39" s="226">
        <f>C37+C38</f>
        <v>0</v>
      </c>
      <c r="D39" s="117">
        <f>D37+D38</f>
        <v>116333015.19000006</v>
      </c>
      <c r="E39" s="116">
        <f>E37+E38</f>
        <v>-157808121</v>
      </c>
      <c r="F39" s="275"/>
      <c r="G39" s="116">
        <f>G37+G38</f>
        <v>-68648548.850000024</v>
      </c>
      <c r="H39" s="116">
        <f>H37+H38</f>
        <v>-157807799</v>
      </c>
      <c r="I39" s="275"/>
      <c r="J39" s="275"/>
      <c r="K39" s="191">
        <f>K37+K38</f>
        <v>102977216.19000006</v>
      </c>
    </row>
    <row r="40" spans="1:11" ht="11.25" customHeight="1">
      <c r="A40" s="58" t="s">
        <v>800</v>
      </c>
      <c r="B40" s="59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1.25" customHeight="1">
      <c r="A41" s="81" t="s">
        <v>182</v>
      </c>
      <c r="B41" s="59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1.25" customHeight="1"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>
      <c r="A43" s="81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>
      <c r="A44" s="82"/>
      <c r="B44" s="65"/>
      <c r="C44" s="704"/>
      <c r="D44" s="704"/>
      <c r="E44" s="704"/>
      <c r="F44" s="704"/>
      <c r="G44" s="704"/>
      <c r="H44" s="704"/>
      <c r="I44" s="704"/>
      <c r="J44" s="704"/>
      <c r="K44" s="704"/>
    </row>
    <row r="45" spans="1:11" ht="11.25" customHeight="1"/>
    <row r="46" spans="1:11" ht="11.25" customHeight="1"/>
    <row r="47" spans="1:11" ht="11.25" customHeight="1"/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="90" zoomScaleNormal="100" zoomScaleSheetLayoutView="9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D30" sqref="D30"/>
    </sheetView>
  </sheetViews>
  <sheetFormatPr defaultRowHeight="12.7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>
      <c r="A1" s="994" t="str">
        <f>muni&amp; " - "&amp;S71G&amp; " - "&amp;date</f>
        <v>FS194 Maluti-a-Phofung - Supporting Table SC1 Material variance explanations  - M07 January</v>
      </c>
      <c r="B1" s="994"/>
      <c r="C1" s="994"/>
      <c r="D1" s="994"/>
      <c r="E1" s="994"/>
    </row>
    <row r="2" spans="1:5">
      <c r="A2" s="976" t="str">
        <f>head27</f>
        <v>Ref</v>
      </c>
      <c r="B2" s="983" t="str">
        <f>desc</f>
        <v>Description</v>
      </c>
      <c r="C2" s="270"/>
      <c r="D2" s="270"/>
      <c r="E2" s="276"/>
    </row>
    <row r="3" spans="1:5">
      <c r="A3" s="987"/>
      <c r="B3" s="984"/>
      <c r="C3" s="160" t="s">
        <v>547</v>
      </c>
      <c r="D3" s="160" t="s">
        <v>624</v>
      </c>
      <c r="E3" s="28" t="s">
        <v>625</v>
      </c>
    </row>
    <row r="4" spans="1:5">
      <c r="A4" s="120"/>
      <c r="B4" s="35" t="s">
        <v>821</v>
      </c>
      <c r="C4" s="188"/>
      <c r="D4" s="158"/>
      <c r="E4" s="32"/>
    </row>
    <row r="5" spans="1:5" ht="11.25" customHeight="1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>
      <c r="A6" s="170"/>
      <c r="B6" s="777"/>
      <c r="C6" s="767"/>
      <c r="D6" s="777"/>
      <c r="E6" s="777"/>
    </row>
    <row r="7" spans="1:5" ht="11.25" customHeight="1">
      <c r="A7" s="170"/>
      <c r="B7" s="777"/>
      <c r="C7" s="767"/>
      <c r="D7" s="777"/>
      <c r="E7" s="777"/>
    </row>
    <row r="8" spans="1:5" ht="11.25" customHeight="1">
      <c r="A8" s="170"/>
      <c r="B8" s="777"/>
      <c r="C8" s="767"/>
      <c r="D8" s="777"/>
      <c r="E8" s="777"/>
    </row>
    <row r="9" spans="1:5" ht="11.25" customHeight="1">
      <c r="A9" s="170"/>
      <c r="B9" s="777"/>
      <c r="C9" s="767"/>
      <c r="D9" s="777"/>
      <c r="E9" s="777"/>
    </row>
    <row r="10" spans="1:5" ht="11.25" customHeight="1">
      <c r="A10" s="170">
        <v>2</v>
      </c>
      <c r="B10" s="393" t="str">
        <f>'C4-FinPerf RE'!A25</f>
        <v>Expenditure By Type</v>
      </c>
      <c r="C10" s="394"/>
      <c r="D10" s="394"/>
      <c r="E10" s="394"/>
    </row>
    <row r="11" spans="1:5" ht="11.25" customHeight="1">
      <c r="A11" s="170"/>
      <c r="B11" s="777"/>
      <c r="C11" s="767"/>
      <c r="D11" s="777"/>
      <c r="E11" s="777"/>
    </row>
    <row r="12" spans="1:5" ht="11.25" customHeight="1">
      <c r="A12" s="170"/>
      <c r="B12" s="777"/>
      <c r="C12" s="767"/>
      <c r="D12" s="777"/>
      <c r="E12" s="777"/>
    </row>
    <row r="13" spans="1:5" ht="11.25" customHeight="1">
      <c r="A13" s="170"/>
      <c r="B13" s="777"/>
      <c r="C13" s="767"/>
      <c r="D13" s="777"/>
      <c r="E13" s="777"/>
    </row>
    <row r="14" spans="1:5" ht="11.25" customHeight="1">
      <c r="A14" s="170"/>
      <c r="B14" s="777"/>
      <c r="C14" s="767"/>
      <c r="D14" s="777"/>
      <c r="E14" s="777"/>
    </row>
    <row r="15" spans="1:5" ht="11.25" customHeight="1">
      <c r="A15" s="170">
        <v>3</v>
      </c>
      <c r="B15" s="393" t="str">
        <f>RIGHT('C5-Capex'!A40,19)</f>
        <v>Capital Expenditure</v>
      </c>
      <c r="C15" s="394"/>
      <c r="D15" s="394"/>
      <c r="E15" s="394"/>
    </row>
    <row r="16" spans="1:5" ht="11.25" customHeight="1">
      <c r="A16" s="170"/>
      <c r="B16" s="777"/>
      <c r="C16" s="767"/>
      <c r="D16" s="777"/>
      <c r="E16" s="777"/>
    </row>
    <row r="17" spans="1:5" ht="11.25" customHeight="1">
      <c r="A17" s="170"/>
      <c r="B17" s="777"/>
      <c r="C17" s="767"/>
      <c r="D17" s="777"/>
      <c r="E17" s="777"/>
    </row>
    <row r="18" spans="1:5" ht="11.25" customHeight="1">
      <c r="A18" s="170"/>
      <c r="B18" s="777"/>
      <c r="C18" s="767"/>
      <c r="D18" s="777"/>
      <c r="E18" s="777"/>
    </row>
    <row r="19" spans="1:5" ht="11.25" customHeight="1">
      <c r="A19" s="170"/>
      <c r="B19" s="777"/>
      <c r="C19" s="767"/>
      <c r="D19" s="777"/>
      <c r="E19" s="777"/>
    </row>
    <row r="20" spans="1:5" ht="11.25" customHeight="1">
      <c r="A20" s="170">
        <v>4</v>
      </c>
      <c r="B20" s="393" t="s">
        <v>91</v>
      </c>
      <c r="C20" s="394"/>
      <c r="D20" s="394"/>
      <c r="E20" s="394"/>
    </row>
    <row r="21" spans="1:5" ht="11.25" customHeight="1">
      <c r="A21" s="170"/>
      <c r="B21" s="777"/>
      <c r="C21" s="767"/>
      <c r="D21" s="777"/>
      <c r="E21" s="777"/>
    </row>
    <row r="22" spans="1:5" ht="11.25" customHeight="1">
      <c r="A22" s="170"/>
      <c r="B22" s="777"/>
      <c r="C22" s="767"/>
      <c r="D22" s="777"/>
      <c r="E22" s="777"/>
    </row>
    <row r="23" spans="1:5" ht="11.25" customHeight="1">
      <c r="A23" s="170"/>
      <c r="B23" s="777"/>
      <c r="C23" s="767"/>
      <c r="D23" s="777"/>
      <c r="E23" s="777"/>
    </row>
    <row r="24" spans="1:5" ht="11.25" customHeight="1">
      <c r="A24" s="170"/>
      <c r="B24" s="777"/>
      <c r="C24" s="767"/>
      <c r="D24" s="777"/>
      <c r="E24" s="777"/>
    </row>
    <row r="25" spans="1:5" ht="11.25" customHeight="1">
      <c r="A25" s="170">
        <v>5</v>
      </c>
      <c r="B25" s="393" t="s">
        <v>92</v>
      </c>
      <c r="C25" s="394"/>
      <c r="D25" s="394"/>
      <c r="E25" s="394"/>
    </row>
    <row r="26" spans="1:5" ht="11.25" customHeight="1">
      <c r="A26" s="170"/>
      <c r="B26" s="777"/>
      <c r="C26" s="767"/>
      <c r="D26" s="777"/>
      <c r="E26" s="777"/>
    </row>
    <row r="27" spans="1:5" ht="11.25" customHeight="1">
      <c r="A27" s="170"/>
      <c r="B27" s="777"/>
      <c r="C27" s="767"/>
      <c r="D27" s="777"/>
      <c r="E27" s="777"/>
    </row>
    <row r="28" spans="1:5" ht="11.25" customHeight="1">
      <c r="A28" s="170"/>
      <c r="B28" s="777"/>
      <c r="C28" s="767"/>
      <c r="D28" s="777"/>
      <c r="E28" s="777"/>
    </row>
    <row r="29" spans="1:5" ht="11.25" customHeight="1">
      <c r="A29" s="170"/>
      <c r="B29" s="777"/>
      <c r="C29" s="767"/>
      <c r="D29" s="777"/>
      <c r="E29" s="777"/>
    </row>
    <row r="30" spans="1:5" ht="11.25" customHeight="1">
      <c r="A30" s="170">
        <v>6</v>
      </c>
      <c r="B30" s="393" t="s">
        <v>93</v>
      </c>
      <c r="C30" s="395"/>
      <c r="D30" s="394"/>
      <c r="E30" s="394"/>
    </row>
    <row r="31" spans="1:5" ht="11.25" customHeight="1">
      <c r="A31" s="170"/>
      <c r="B31" s="777"/>
      <c r="C31" s="767"/>
      <c r="D31" s="777"/>
      <c r="E31" s="777"/>
    </row>
    <row r="32" spans="1:5" ht="11.25" customHeight="1">
      <c r="A32" s="170"/>
      <c r="B32" s="777"/>
      <c r="C32" s="767"/>
      <c r="D32" s="777"/>
      <c r="E32" s="777"/>
    </row>
    <row r="33" spans="1:5" ht="11.25" customHeight="1">
      <c r="A33" s="170"/>
      <c r="B33" s="777"/>
      <c r="C33" s="767"/>
      <c r="D33" s="777"/>
      <c r="E33" s="777"/>
    </row>
    <row r="34" spans="1:5" ht="11.25" customHeight="1">
      <c r="A34" s="170"/>
      <c r="B34" s="777"/>
      <c r="C34" s="767"/>
      <c r="D34" s="777"/>
      <c r="E34" s="777"/>
    </row>
    <row r="35" spans="1:5" ht="11.25" customHeight="1">
      <c r="A35" s="170">
        <v>7</v>
      </c>
      <c r="B35" s="393" t="s">
        <v>94</v>
      </c>
      <c r="C35" s="395"/>
      <c r="D35" s="394"/>
      <c r="E35" s="394"/>
    </row>
    <row r="36" spans="1:5" ht="11.25" customHeight="1">
      <c r="A36" s="170"/>
      <c r="B36" s="777"/>
      <c r="C36" s="767"/>
      <c r="D36" s="777"/>
      <c r="E36" s="777"/>
    </row>
    <row r="37" spans="1:5" ht="11.25" customHeight="1">
      <c r="A37" s="170"/>
      <c r="B37" s="777"/>
      <c r="C37" s="767"/>
      <c r="D37" s="777"/>
      <c r="E37" s="777"/>
    </row>
    <row r="38" spans="1:5" ht="11.25" customHeight="1">
      <c r="A38" s="170"/>
      <c r="B38" s="777"/>
      <c r="C38" s="767"/>
      <c r="D38" s="777"/>
      <c r="E38" s="777"/>
    </row>
    <row r="39" spans="1:5" ht="11.25" customHeight="1">
      <c r="A39" s="170"/>
      <c r="B39" s="777"/>
      <c r="C39" s="767"/>
      <c r="D39" s="777"/>
      <c r="E39" s="777"/>
    </row>
    <row r="40" spans="1:5" ht="11.25" customHeight="1">
      <c r="A40" s="120"/>
      <c r="B40" s="778"/>
      <c r="C40" s="779"/>
      <c r="D40" s="778"/>
      <c r="E40" s="778"/>
    </row>
    <row r="41" spans="1:5" ht="11.25" customHeight="1">
      <c r="A41" s="79" t="str">
        <f>head27a</f>
        <v>References</v>
      </c>
      <c r="B41" s="68"/>
      <c r="C41" s="68"/>
      <c r="D41" s="68"/>
      <c r="E41" s="68"/>
    </row>
    <row r="42" spans="1:5" ht="11.25" customHeight="1">
      <c r="A42" s="34" t="s">
        <v>1036</v>
      </c>
    </row>
    <row r="43" spans="1:5" ht="11.25" customHeight="1">
      <c r="A43" s="34" t="s">
        <v>1037</v>
      </c>
    </row>
    <row r="44" spans="1:5" ht="11.25" customHeight="1">
      <c r="A44" s="34" t="s">
        <v>1038</v>
      </c>
    </row>
    <row r="45" spans="1:5" ht="11.25" customHeight="1">
      <c r="A45" s="34" t="s">
        <v>1039</v>
      </c>
    </row>
    <row r="46" spans="1:5" ht="11.25" customHeight="1">
      <c r="A46" s="34" t="s">
        <v>1040</v>
      </c>
    </row>
    <row r="47" spans="1:5" ht="11.25" customHeight="1">
      <c r="A47" s="34" t="s">
        <v>548</v>
      </c>
    </row>
  </sheetData>
  <sheetProtection sheet="1" objects="1" scenarios="1"/>
  <mergeCells count="3">
    <mergeCell ref="A2:A3"/>
    <mergeCell ref="B2:B3"/>
    <mergeCell ref="A1:E1"/>
  </mergeCells>
  <phoneticPr fontId="3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100" zoomScaleSheetLayoutView="100" workbookViewId="0">
      <pane xSplit="3" ySplit="4" topLeftCell="D5" activePane="bottomRight" state="frozen"/>
      <selection activeCell="B2" sqref="B2"/>
      <selection pane="topRight" activeCell="B2" sqref="B2"/>
      <selection pane="bottomLeft" activeCell="B2" sqref="B2"/>
      <selection pane="bottomRight" activeCell="G32" sqref="G32"/>
    </sheetView>
  </sheetViews>
  <sheetFormatPr defaultRowHeight="11.25" customHeight="1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>
      <c r="A1" s="994" t="str">
        <f>muni&amp; " - "&amp;S71H&amp; " - "&amp;Head57</f>
        <v>FS194 Maluti-a-Phofung - Supporting Table SC2 Monthly Budget Statement - performance indicators   - M07 January</v>
      </c>
      <c r="B1" s="994"/>
      <c r="C1" s="994"/>
      <c r="D1" s="994"/>
      <c r="E1" s="994"/>
      <c r="F1" s="994"/>
      <c r="G1" s="994"/>
      <c r="H1" s="994"/>
    </row>
    <row r="2" spans="1:11" ht="12.75">
      <c r="A2" s="999" t="s">
        <v>698</v>
      </c>
      <c r="B2" s="983" t="s">
        <v>946</v>
      </c>
      <c r="C2" s="976" t="str">
        <f>head27</f>
        <v>Ref</v>
      </c>
      <c r="D2" s="139" t="str">
        <f>Head1</f>
        <v>2012/13</v>
      </c>
      <c r="E2" s="246" t="str">
        <f>Head2</f>
        <v>Budget Year 2013/14</v>
      </c>
      <c r="F2" s="230"/>
      <c r="G2" s="230"/>
      <c r="H2" s="231"/>
    </row>
    <row r="3" spans="1:11" ht="25.5">
      <c r="A3" s="1000"/>
      <c r="B3" s="984"/>
      <c r="C3" s="987"/>
      <c r="D3" s="330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>
      <c r="A4" s="35"/>
      <c r="B4" s="35"/>
      <c r="C4" s="120"/>
      <c r="D4" s="188"/>
      <c r="E4" s="247"/>
      <c r="F4" s="242"/>
      <c r="G4" s="83"/>
      <c r="H4" s="224"/>
    </row>
    <row r="5" spans="1:11" ht="12.75" customHeight="1">
      <c r="A5" s="123" t="s">
        <v>644</v>
      </c>
      <c r="B5" s="132"/>
      <c r="C5" s="131"/>
      <c r="D5" s="396"/>
      <c r="E5" s="279"/>
      <c r="F5" s="280"/>
      <c r="G5" s="280"/>
      <c r="H5" s="281"/>
    </row>
    <row r="6" spans="1:11" ht="3.75" customHeight="1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>
      <c r="A7" s="127" t="s">
        <v>996</v>
      </c>
      <c r="B7" s="124" t="s">
        <v>95</v>
      </c>
      <c r="C7" s="175"/>
      <c r="D7" s="121">
        <f>IF(ISERROR((D42-D43)/D45),0,((D42-D43)/D45))</f>
        <v>0</v>
      </c>
      <c r="E7" s="283">
        <f>IF(ISERROR((E42+E44)/E45),0,((E42+E44)/E45))</f>
        <v>5.6367450788196716E-2</v>
      </c>
      <c r="F7" s="125">
        <f>IF(ISERROR((F42+F44)/F45),0,((F42+F44)/F45))</f>
        <v>0</v>
      </c>
      <c r="G7" s="125">
        <f>IF(ISERROR((G42+G44)/G45),0,((G42+G44)/G45))</f>
        <v>6.4579117943212982E-3</v>
      </c>
      <c r="H7" s="277">
        <f>IF(ISERROR((H42+H44)/H45),0,((H42+H44)/H45))</f>
        <v>3.4751581845507938E-2</v>
      </c>
    </row>
    <row r="8" spans="1:11" ht="30" customHeight="1">
      <c r="A8" s="127" t="s">
        <v>1236</v>
      </c>
      <c r="B8" s="124" t="s">
        <v>72</v>
      </c>
      <c r="C8" s="175"/>
      <c r="D8" s="121">
        <f>IF(ISERROR(D47/D46),0,(D47/D46))</f>
        <v>0</v>
      </c>
      <c r="E8" s="283">
        <f>IF(ISERROR(E47/E46),0,(E47/E46))</f>
        <v>0.24871596638922477</v>
      </c>
      <c r="F8" s="125">
        <f>IF(ISERROR(F47/F46),0,(F47/F46))</f>
        <v>0</v>
      </c>
      <c r="G8" s="125">
        <f>IF(ISERROR(G47/G46),0,(G47/G46))</f>
        <v>7.9991385806938448E-3</v>
      </c>
      <c r="H8" s="277">
        <f>IF(ISERROR(H47/H46),0,(H47/H46))</f>
        <v>0.24871596638922477</v>
      </c>
      <c r="J8" s="345"/>
    </row>
    <row r="9" spans="1:11" ht="12.75" customHeight="1">
      <c r="A9" s="128" t="s">
        <v>907</v>
      </c>
      <c r="B9" s="124"/>
      <c r="C9" s="175"/>
      <c r="D9" s="121"/>
      <c r="E9" s="283"/>
      <c r="F9" s="125"/>
      <c r="G9" s="125"/>
      <c r="H9" s="277"/>
    </row>
    <row r="10" spans="1:11" ht="25.5">
      <c r="A10" s="127" t="s">
        <v>7</v>
      </c>
      <c r="B10" s="124" t="s">
        <v>1152</v>
      </c>
      <c r="C10" s="175"/>
      <c r="D10" s="121">
        <f>IF(ISERROR(D48/D49),0,(D48/D49))</f>
        <v>0</v>
      </c>
      <c r="E10" s="283">
        <f>IF(ISERROR(E48/E49),0,(E48/E49))</f>
        <v>0.1979350645731032</v>
      </c>
      <c r="F10" s="125">
        <f>IF(ISERROR(F48/F49),0,(F48/F49))</f>
        <v>0</v>
      </c>
      <c r="G10" s="125">
        <f>IF(ISERROR(G48/G49),0,(G48/G49))</f>
        <v>0</v>
      </c>
      <c r="H10" s="277">
        <f>IF(ISERROR(H48/H49),0,(H48/H49))</f>
        <v>0.1979350645731032</v>
      </c>
    </row>
    <row r="11" spans="1:11" ht="12.75" customHeight="1">
      <c r="A11" s="127" t="s">
        <v>906</v>
      </c>
      <c r="B11" s="124" t="s">
        <v>884</v>
      </c>
      <c r="C11" s="175"/>
      <c r="D11" s="121">
        <f>IF(ISERROR(D51/D50),0,(D51/D50))</f>
        <v>0</v>
      </c>
      <c r="E11" s="283">
        <f>IF(ISERROR(E51/E50),0,(E51/E50))</f>
        <v>0.32073275862068967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0.32073275862068967</v>
      </c>
    </row>
    <row r="12" spans="1:11" ht="12.75" customHeight="1">
      <c r="A12" s="128" t="s">
        <v>908</v>
      </c>
      <c r="B12" s="124"/>
      <c r="C12" s="175"/>
      <c r="D12" s="121"/>
      <c r="E12" s="283"/>
      <c r="F12" s="125"/>
      <c r="G12" s="125"/>
      <c r="H12" s="277"/>
    </row>
    <row r="13" spans="1:11" ht="12.75" customHeight="1">
      <c r="A13" s="127" t="s">
        <v>1237</v>
      </c>
      <c r="B13" s="124" t="s">
        <v>677</v>
      </c>
      <c r="C13" s="170">
        <v>1</v>
      </c>
      <c r="D13" s="121">
        <f>IF(ISERROR(D52/D53),0,(D52/D53))</f>
        <v>0</v>
      </c>
      <c r="E13" s="283">
        <f>IF(ISERROR(E52/E53),0,(E52/E53))</f>
        <v>4.911730938069832</v>
      </c>
      <c r="F13" s="125">
        <f>IF(ISERROR(F52/F53),0,(F52/F53))</f>
        <v>0</v>
      </c>
      <c r="G13" s="125">
        <f>IF(ISERROR(G52/G53),0,(G52/G53))</f>
        <v>0</v>
      </c>
      <c r="H13" s="277">
        <f>IF(ISERROR(H52/H53),0,(H52/H53))</f>
        <v>4.911730938069832</v>
      </c>
    </row>
    <row r="14" spans="1:11" ht="12.75" customHeight="1">
      <c r="A14" s="127" t="s">
        <v>909</v>
      </c>
      <c r="B14" s="124" t="s">
        <v>545</v>
      </c>
      <c r="C14" s="175"/>
      <c r="D14" s="121">
        <f>IF(ISERROR(D54/D53),0,(D54/D53))</f>
        <v>0</v>
      </c>
      <c r="E14" s="283">
        <f>IF(ISERROR(E54/E53),0,(E54/E53))</f>
        <v>0.3617000275337548</v>
      </c>
      <c r="F14" s="125">
        <f>IF(ISERROR(F54/F53),0,(F54/F53))</f>
        <v>0</v>
      </c>
      <c r="G14" s="125">
        <f>IF(ISERROR(G54/G53),0,(G54/G53))</f>
        <v>0</v>
      </c>
      <c r="H14" s="277">
        <f>IF(ISERROR(H54/H53),0,(H54/H53))</f>
        <v>0.3617000275337548</v>
      </c>
    </row>
    <row r="15" spans="1:11" ht="12.75" customHeight="1">
      <c r="A15" s="128" t="s">
        <v>546</v>
      </c>
      <c r="B15" s="124"/>
      <c r="C15" s="175"/>
      <c r="D15" s="121"/>
      <c r="E15" s="283"/>
      <c r="F15" s="125"/>
      <c r="G15" s="125"/>
      <c r="H15" s="277"/>
    </row>
    <row r="16" spans="1:11" ht="25.5">
      <c r="A16" s="127" t="s">
        <v>627</v>
      </c>
      <c r="B16" s="124" t="s">
        <v>582</v>
      </c>
      <c r="C16" s="175"/>
      <c r="D16" s="121"/>
      <c r="E16" s="283"/>
      <c r="F16" s="125"/>
      <c r="G16" s="125"/>
      <c r="H16" s="277"/>
    </row>
    <row r="17" spans="1:8" ht="12.75" customHeight="1">
      <c r="A17" s="127" t="s">
        <v>583</v>
      </c>
      <c r="B17" s="124" t="s">
        <v>793</v>
      </c>
      <c r="C17" s="175"/>
      <c r="D17" s="121">
        <f>IF(ISERROR(D59/D55),0,(D59/D55))</f>
        <v>0</v>
      </c>
      <c r="E17" s="283">
        <f>IF(ISERROR(E59/E55),0,(E59/E55))</f>
        <v>0.75721194352611021</v>
      </c>
      <c r="F17" s="125">
        <f>IF(ISERROR(F59/F55),0,(F59/F55))</f>
        <v>0</v>
      </c>
      <c r="G17" s="125">
        <f>IF(ISERROR(G59/G55),0,(G59/G55))</f>
        <v>0</v>
      </c>
      <c r="H17" s="277">
        <f>IF(ISERROR(H59/H55),0,(H59/H55))</f>
        <v>0.75721194352611021</v>
      </c>
    </row>
    <row r="18" spans="1:8" ht="25.5">
      <c r="A18" s="127" t="s">
        <v>1238</v>
      </c>
      <c r="B18" s="124" t="s">
        <v>628</v>
      </c>
      <c r="C18" s="175"/>
      <c r="D18" s="397">
        <f>IF(ISERROR(D64/D63),0,(D64/D63))</f>
        <v>0</v>
      </c>
      <c r="E18" s="398">
        <f>IF(ISERROR(E64/E63),0,(E64/E63))</f>
        <v>0</v>
      </c>
      <c r="F18" s="399">
        <f>IF(ISERROR(F64/F63),0,(F64/F63))</f>
        <v>0</v>
      </c>
      <c r="G18" s="399">
        <f>IF(ISERROR(G64/G63),0,(G64/G63))</f>
        <v>0</v>
      </c>
      <c r="H18" s="400">
        <f>IF(ISERROR(H64/H63),0,(H64/H63))</f>
        <v>0</v>
      </c>
    </row>
    <row r="19" spans="1:8" ht="12.75" customHeight="1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>
      <c r="A20" s="127" t="s">
        <v>9</v>
      </c>
      <c r="B20" s="124" t="s">
        <v>968</v>
      </c>
      <c r="C20" s="175"/>
      <c r="D20" s="920"/>
      <c r="E20" s="921">
        <v>0.98</v>
      </c>
      <c r="F20" s="922"/>
      <c r="G20" s="922">
        <v>0.88</v>
      </c>
      <c r="H20" s="921">
        <v>0.98</v>
      </c>
    </row>
    <row r="21" spans="1:8" ht="12.75" customHeight="1">
      <c r="A21" s="128" t="s">
        <v>640</v>
      </c>
      <c r="B21" s="124"/>
      <c r="C21" s="175"/>
      <c r="D21" s="121"/>
      <c r="E21" s="283"/>
      <c r="F21" s="125"/>
      <c r="G21" s="125"/>
      <c r="H21" s="277"/>
    </row>
    <row r="22" spans="1:8" ht="12.75" customHeight="1">
      <c r="A22" s="127" t="s">
        <v>641</v>
      </c>
      <c r="B22" s="124" t="s">
        <v>642</v>
      </c>
      <c r="C22" s="175"/>
      <c r="D22" s="121"/>
      <c r="E22" s="283"/>
      <c r="F22" s="125"/>
      <c r="G22" s="125"/>
      <c r="H22" s="277"/>
    </row>
    <row r="23" spans="1:8" ht="12.75" customHeight="1">
      <c r="A23" s="128" t="s">
        <v>643</v>
      </c>
      <c r="B23" s="124"/>
      <c r="C23" s="175"/>
      <c r="D23" s="121"/>
      <c r="E23" s="283"/>
      <c r="F23" s="125"/>
      <c r="G23" s="125"/>
      <c r="H23" s="277"/>
    </row>
    <row r="24" spans="1:8" ht="27.75" customHeight="1">
      <c r="A24" s="127" t="s">
        <v>630</v>
      </c>
      <c r="B24" s="554" t="s">
        <v>73</v>
      </c>
      <c r="C24" s="252">
        <v>2</v>
      </c>
      <c r="D24" s="920"/>
      <c r="E24" s="921">
        <v>0.1</v>
      </c>
      <c r="F24" s="922"/>
      <c r="G24" s="922">
        <f>(164683466-125108717)/164683466</f>
        <v>0.24030796752844635</v>
      </c>
      <c r="H24" s="922">
        <v>0.1</v>
      </c>
    </row>
    <row r="25" spans="1:8" ht="27.75" customHeight="1">
      <c r="A25" s="127" t="s">
        <v>629</v>
      </c>
      <c r="B25" s="554" t="s">
        <v>74</v>
      </c>
      <c r="C25" s="252">
        <v>2</v>
      </c>
      <c r="D25" s="920"/>
      <c r="E25" s="921">
        <v>0.1</v>
      </c>
      <c r="F25" s="922"/>
      <c r="G25" s="922">
        <f>(41267358-17299939)/41267358</f>
        <v>0.58078394550966894</v>
      </c>
      <c r="H25" s="922">
        <v>0.1</v>
      </c>
    </row>
    <row r="26" spans="1:8" ht="27.75" customHeight="1">
      <c r="A26" s="127" t="s">
        <v>588</v>
      </c>
      <c r="B26" s="124" t="s">
        <v>930</v>
      </c>
      <c r="C26" s="175"/>
      <c r="D26" s="121">
        <f>IF(ISERROR(D40/D55),0,(D40/D55))</f>
        <v>0</v>
      </c>
      <c r="E26" s="283">
        <f>IF(ISERROR(E40/E55),0,(E40/E55))</f>
        <v>0.23843639953358231</v>
      </c>
      <c r="F26" s="125">
        <f>IF(ISERROR(F40/F55),0,(F40/F55))</f>
        <v>0</v>
      </c>
      <c r="G26" s="125">
        <f>IF(ISERROR(G40/G55),0,(G40/G55))</f>
        <v>0.237654473362998</v>
      </c>
      <c r="H26" s="277">
        <f>IF(ISERROR(H40/H55),0,(H40/H55))</f>
        <v>0.23843639953358231</v>
      </c>
    </row>
    <row r="27" spans="1:8" ht="27.75" customHeight="1">
      <c r="A27" s="127" t="s">
        <v>928</v>
      </c>
      <c r="B27" s="124" t="s">
        <v>931</v>
      </c>
      <c r="C27" s="175"/>
      <c r="D27" s="121">
        <f>IF(ISERROR(D41/D55),0,(D41/D55))</f>
        <v>0</v>
      </c>
      <c r="E27" s="283">
        <f>IF(ISERROR(E41/E55),0,(E41/E55))</f>
        <v>8.1045557160237883E-2</v>
      </c>
      <c r="F27" s="125">
        <f>IF(ISERROR(F41/F55),0,(F41/F55))</f>
        <v>0</v>
      </c>
      <c r="G27" s="125">
        <f>IF(ISERROR(G41/G55),0,(G41/G55))</f>
        <v>7.4553932986824945E-2</v>
      </c>
      <c r="H27" s="277">
        <f>IF(ISERROR(H41/H55),0,(H41/H55))</f>
        <v>8.1045557160237883E-2</v>
      </c>
    </row>
    <row r="28" spans="1:8" ht="27.75" customHeight="1">
      <c r="A28" s="127" t="s">
        <v>929</v>
      </c>
      <c r="B28" s="124" t="s">
        <v>910</v>
      </c>
      <c r="C28" s="175"/>
      <c r="D28" s="121">
        <f>IF(ISERROR((D42+D44)/D55),0,((D42+D44)/D55))</f>
        <v>0</v>
      </c>
      <c r="E28" s="283">
        <f>IF(ISERROR((E42+E44)/E55),0,((E42+E44)/E55))</f>
        <v>5.6337272380883728E-2</v>
      </c>
      <c r="F28" s="125">
        <f>IF(ISERROR((F42+F44)/F55),0,((F42+F44)/F55))</f>
        <v>0</v>
      </c>
      <c r="G28" s="125">
        <f>IF(ISERROR((G42+G44)/G55),0,((G42+G44)/G55))</f>
        <v>6.3482203432427414E-3</v>
      </c>
      <c r="H28" s="277">
        <f>IF(ISERROR((H42+H44)/H55),0,((H42+H44)/H55))</f>
        <v>3.4732976296081103E-2</v>
      </c>
    </row>
    <row r="29" spans="1:8" ht="12.75" customHeight="1">
      <c r="A29" s="282" t="s">
        <v>805</v>
      </c>
      <c r="B29" s="129"/>
      <c r="C29" s="284"/>
      <c r="D29" s="121"/>
      <c r="E29" s="283"/>
      <c r="F29" s="125"/>
      <c r="G29" s="125"/>
      <c r="H29" s="277"/>
    </row>
    <row r="30" spans="1:8" ht="27.75" customHeight="1">
      <c r="A30" s="127" t="s">
        <v>806</v>
      </c>
      <c r="B30" s="124" t="s">
        <v>964</v>
      </c>
      <c r="C30" s="175"/>
      <c r="D30" s="920"/>
      <c r="E30" s="921">
        <v>0.9</v>
      </c>
      <c r="F30" s="922"/>
      <c r="G30" s="922">
        <f>(300240235-260933000)/338175880</f>
        <v>0.11623311219002372</v>
      </c>
      <c r="H30" s="922">
        <v>0.9</v>
      </c>
    </row>
    <row r="31" spans="1:8" ht="25.5">
      <c r="A31" s="127" t="s">
        <v>969</v>
      </c>
      <c r="B31" s="124" t="s">
        <v>608</v>
      </c>
      <c r="C31" s="175"/>
      <c r="D31" s="920"/>
      <c r="E31" s="922">
        <v>0.25</v>
      </c>
      <c r="F31" s="922"/>
      <c r="G31" s="922">
        <f>8302349/51094328</f>
        <v>0.16249061931101236</v>
      </c>
      <c r="H31" s="922">
        <v>0.25</v>
      </c>
    </row>
    <row r="32" spans="1:8" ht="25.5">
      <c r="A32" s="278" t="s">
        <v>807</v>
      </c>
      <c r="B32" s="133" t="s">
        <v>556</v>
      </c>
      <c r="C32" s="179"/>
      <c r="D32" s="923"/>
      <c r="E32" s="924">
        <v>0.8</v>
      </c>
      <c r="F32" s="925"/>
      <c r="G32" s="925">
        <f>(17484062.55+2103202.01)/263567964</f>
        <v>7.431580174895612E-2</v>
      </c>
      <c r="H32" s="925">
        <v>0.8</v>
      </c>
    </row>
    <row r="33" spans="1:9" ht="12.75" customHeight="1">
      <c r="A33" s="58" t="s">
        <v>800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>
      <c r="A34" s="61" t="s">
        <v>631</v>
      </c>
      <c r="B34" s="68"/>
      <c r="C34" s="68"/>
      <c r="D34" s="68"/>
      <c r="E34" s="68"/>
      <c r="F34" s="68"/>
      <c r="G34" s="68"/>
      <c r="H34" s="68"/>
    </row>
    <row r="35" spans="1:9" ht="12.75" customHeight="1">
      <c r="A35" s="122" t="s">
        <v>1082</v>
      </c>
    </row>
    <row r="36" spans="1:9" ht="12.75" customHeight="1"/>
    <row r="37" spans="1:9" ht="12.75" customHeight="1">
      <c r="A37" s="342" t="s">
        <v>662</v>
      </c>
      <c r="B37" s="340"/>
      <c r="C37" s="340"/>
      <c r="D37" s="340"/>
      <c r="E37" s="340"/>
      <c r="F37" s="340"/>
      <c r="G37" s="340"/>
      <c r="H37" s="343"/>
    </row>
    <row r="38" spans="1:9" ht="12.75" customHeight="1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14882000</v>
      </c>
      <c r="F38" s="85">
        <f>'C6-FinPos'!E38</f>
        <v>0</v>
      </c>
      <c r="G38" s="98">
        <f>'C6-FinPos'!F38</f>
        <v>0</v>
      </c>
      <c r="H38" s="49">
        <v>0</v>
      </c>
    </row>
    <row r="39" spans="1:9" ht="12.75" customHeight="1">
      <c r="A39" s="43" t="s">
        <v>664</v>
      </c>
      <c r="B39" s="68"/>
      <c r="C39" s="68"/>
      <c r="D39" s="85">
        <f>'C6-FinPos'!C26</f>
        <v>0</v>
      </c>
      <c r="E39" s="85">
        <f>'C6-FinPos'!D26</f>
        <v>1177820000</v>
      </c>
      <c r="F39" s="85">
        <f>'C6-FinPos'!E26</f>
        <v>0</v>
      </c>
      <c r="G39" s="98">
        <f>'C6-FinPos'!F26</f>
        <v>0</v>
      </c>
      <c r="H39" s="49">
        <f>'C6-FinPos'!G26</f>
        <v>1177820000</v>
      </c>
    </row>
    <row r="40" spans="1:9" ht="12.75" customHeight="1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275099686.49000001</v>
      </c>
      <c r="F40" s="85">
        <f>'C4-FinPerf RE'!E26</f>
        <v>0</v>
      </c>
      <c r="G40" s="98">
        <f>'C4-FinPerf RE'!G26</f>
        <v>144867740.21000001</v>
      </c>
      <c r="H40" s="49">
        <f>'C4-FinPerf RE'!K26</f>
        <v>275099686.49000001</v>
      </c>
    </row>
    <row r="41" spans="1:9" ht="12.75" customHeight="1">
      <c r="A41" s="43" t="str">
        <f>A27</f>
        <v>Repairs &amp; Maintenance</v>
      </c>
      <c r="B41" s="68"/>
      <c r="C41" s="68"/>
      <c r="D41" s="926"/>
      <c r="E41" s="926">
        <v>93507566</v>
      </c>
      <c r="F41" s="926"/>
      <c r="G41" s="926">
        <v>45446061.43</v>
      </c>
      <c r="H41" s="927">
        <f>93507566</f>
        <v>93507566</v>
      </c>
    </row>
    <row r="42" spans="1:9" ht="12.75" customHeight="1">
      <c r="A42" s="43" t="s">
        <v>665</v>
      </c>
      <c r="B42" s="68"/>
      <c r="C42" s="68"/>
      <c r="D42" s="85">
        <f>'C4-FinPerf RE'!C30</f>
        <v>0</v>
      </c>
      <c r="E42" s="85">
        <f>'C4-FinPerf RE'!D30</f>
        <v>16000000</v>
      </c>
      <c r="F42" s="85">
        <f>'C4-FinPerf RE'!E30</f>
        <v>0</v>
      </c>
      <c r="G42" s="98">
        <f>'C4-FinPerf RE'!G30</f>
        <v>3869703.45</v>
      </c>
      <c r="H42" s="49">
        <f>'C4-FinPerf RE'!K30</f>
        <v>16000000</v>
      </c>
    </row>
    <row r="43" spans="1:9" ht="12.75" customHeight="1">
      <c r="A43" s="43" t="s">
        <v>96</v>
      </c>
      <c r="B43" s="68"/>
      <c r="C43" s="68"/>
      <c r="D43" s="85">
        <f>-'C7-CFlow'!C34</f>
        <v>0</v>
      </c>
      <c r="E43" s="85">
        <f>-'C7-CFlow'!D34</f>
        <v>0</v>
      </c>
      <c r="F43" s="85">
        <f>-'C7-CFlow'!E34</f>
        <v>0</v>
      </c>
      <c r="G43" s="98">
        <f>-'C7-CFlow'!G34</f>
        <v>0</v>
      </c>
      <c r="H43" s="49">
        <f>-'C7-CFlow'!K34</f>
        <v>0</v>
      </c>
    </row>
    <row r="44" spans="1:9" ht="12.75" customHeight="1">
      <c r="A44" s="43" t="s">
        <v>666</v>
      </c>
      <c r="B44" s="68"/>
      <c r="C44" s="68"/>
      <c r="D44" s="85">
        <f>'C4-FinPerf RE'!C29</f>
        <v>0</v>
      </c>
      <c r="E44" s="85">
        <f>'C4-FinPerf RE'!D29</f>
        <v>49000000</v>
      </c>
      <c r="F44" s="85">
        <f>'C4-FinPerf RE'!E29</f>
        <v>0</v>
      </c>
      <c r="G44" s="98"/>
      <c r="H44" s="49">
        <f>'C4-FinPerf RE'!K27</f>
        <v>24073709</v>
      </c>
    </row>
    <row r="45" spans="1:9" ht="12.75" customHeight="1">
      <c r="A45" s="43" t="s">
        <v>0</v>
      </c>
      <c r="B45" s="68"/>
      <c r="C45" s="68"/>
      <c r="D45" s="85">
        <f>'C4-FinPerf RE'!C37</f>
        <v>0</v>
      </c>
      <c r="E45" s="85">
        <f>'C4-FinPerf RE'!D37</f>
        <v>1153147766.8600001</v>
      </c>
      <c r="F45" s="85">
        <f>'C4-FinPerf RE'!E37</f>
        <v>0</v>
      </c>
      <c r="G45" s="98">
        <f>'C4-FinPerf RE'!G37</f>
        <v>599219000.3900001</v>
      </c>
      <c r="H45" s="49">
        <f>'C4-FinPerf RE'!K37</f>
        <v>1153147766.8600001</v>
      </c>
    </row>
    <row r="46" spans="1:9" ht="12.75" customHeight="1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394023759</v>
      </c>
      <c r="F46" s="85">
        <f>'C5-Capex'!E40</f>
        <v>0</v>
      </c>
      <c r="G46" s="98">
        <f>'C5-Capex'!G40</f>
        <v>124425351.55000001</v>
      </c>
      <c r="H46" s="49">
        <f>'C5-Capex'!K40</f>
        <v>394023759</v>
      </c>
    </row>
    <row r="47" spans="1:9" ht="12.75" customHeight="1">
      <c r="A47" s="43" t="s">
        <v>669</v>
      </c>
      <c r="B47" s="68"/>
      <c r="C47" s="68"/>
      <c r="D47" s="85">
        <f>'C5-Capex'!C72</f>
        <v>0</v>
      </c>
      <c r="E47" s="85">
        <f>'C5-Capex'!D72</f>
        <v>98000000</v>
      </c>
      <c r="F47" s="85">
        <f>'C5-Capex'!E72</f>
        <v>0</v>
      </c>
      <c r="G47" s="98">
        <f>'C5-Capex'!G72</f>
        <v>995295.62999999989</v>
      </c>
      <c r="H47" s="49">
        <f>'C5-Capex'!K72</f>
        <v>98000000</v>
      </c>
    </row>
    <row r="48" spans="1:9" ht="12.75" customHeight="1">
      <c r="A48" s="43" t="s">
        <v>667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191749000</v>
      </c>
      <c r="F48" s="85">
        <f>'C6-FinPos'!E30+'C6-FinPos'!E31+'C6-FinPos'!E33+'C6-FinPos'!E38</f>
        <v>0</v>
      </c>
      <c r="G48" s="85">
        <f>'C6-FinPos'!F30+'C6-FinPos'!F31+'C6-FinPos'!F33+'C6-FinPos'!F38</f>
        <v>0</v>
      </c>
      <c r="H48" s="49">
        <f>'C6-FinPos'!G30+'C6-FinPos'!G31+'C6-FinPos'!G33+'C6-FinPos'!G38</f>
        <v>191749000</v>
      </c>
    </row>
    <row r="49" spans="1:8" ht="12.75" customHeight="1">
      <c r="A49" s="43" t="s">
        <v>668</v>
      </c>
      <c r="B49" s="68"/>
      <c r="C49" s="68"/>
      <c r="D49" s="85">
        <f>'C6-FinPos'!C48</f>
        <v>0</v>
      </c>
      <c r="E49" s="85">
        <f>'C6-FinPos'!D48</f>
        <v>968747000</v>
      </c>
      <c r="F49" s="85">
        <f>'C6-FinPos'!E48</f>
        <v>0</v>
      </c>
      <c r="G49" s="98">
        <f>'C6-FinPos'!F48</f>
        <v>0</v>
      </c>
      <c r="H49" s="49">
        <f>'C6-FinPos'!G48</f>
        <v>968747000</v>
      </c>
    </row>
    <row r="50" spans="1:8" ht="12.75" customHeight="1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46400000</v>
      </c>
      <c r="F50" s="85">
        <f>'C6-FinPos'!E47</f>
        <v>0</v>
      </c>
      <c r="G50" s="98">
        <f>'C6-FinPos'!F47</f>
        <v>0</v>
      </c>
      <c r="H50" s="49">
        <f>'C6-FinPos'!G47</f>
        <v>46400000</v>
      </c>
    </row>
    <row r="51" spans="1:8" ht="12.75" customHeight="1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14882000</v>
      </c>
      <c r="F51" s="85">
        <f>'C6-FinPos'!E38</f>
        <v>0</v>
      </c>
      <c r="G51" s="98">
        <f>'C6-FinPos'!F38</f>
        <v>0</v>
      </c>
      <c r="H51" s="49">
        <f>'C6-FinPos'!G38</f>
        <v>14882000</v>
      </c>
    </row>
    <row r="52" spans="1:8" ht="12.75" customHeight="1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945464000</v>
      </c>
      <c r="F52" s="85">
        <f>'C6-FinPos'!E13</f>
        <v>0</v>
      </c>
      <c r="G52" s="98">
        <f>'C6-FinPos'!F13</f>
        <v>0</v>
      </c>
      <c r="H52" s="49">
        <f>'C6-FinPos'!G13</f>
        <v>945464000</v>
      </c>
    </row>
    <row r="53" spans="1:8" ht="12.75" customHeight="1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192491000</v>
      </c>
      <c r="F53" s="85">
        <f>'C6-FinPos'!E35</f>
        <v>0</v>
      </c>
      <c r="G53" s="98">
        <f>'C6-FinPos'!F35</f>
        <v>0</v>
      </c>
      <c r="H53" s="49">
        <f>'C6-FinPos'!G35</f>
        <v>192491000</v>
      </c>
    </row>
    <row r="54" spans="1:8" ht="12.75" customHeight="1">
      <c r="A54" s="43" t="s">
        <v>670</v>
      </c>
      <c r="B54" s="68"/>
      <c r="C54" s="68"/>
      <c r="D54" s="85">
        <f>'C6-FinPos'!C7+'C6-FinPos'!C8</f>
        <v>0</v>
      </c>
      <c r="E54" s="85">
        <f>'C6-FinPos'!D7+'C6-FinPos'!D8</f>
        <v>69624000</v>
      </c>
      <c r="F54" s="85">
        <f>'C6-FinPos'!E7+'C6-FinPos'!E8</f>
        <v>0</v>
      </c>
      <c r="G54" s="98">
        <f>'C6-FinPos'!F7+'C6-FinPos'!F8</f>
        <v>0</v>
      </c>
      <c r="H54" s="49">
        <f>'C6-FinPos'!G7+'C6-FinPos'!G8</f>
        <v>69624000</v>
      </c>
    </row>
    <row r="55" spans="1:8" ht="12.75" customHeight="1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1153765478.04</v>
      </c>
      <c r="F55" s="85">
        <f>'C4-FinPerf RE'!E23</f>
        <v>0</v>
      </c>
      <c r="G55" s="98">
        <f>'C4-FinPerf RE'!G23</f>
        <v>609572957.57999992</v>
      </c>
      <c r="H55" s="49">
        <f>'C4-FinPerf RE'!K23</f>
        <v>1153765478.04</v>
      </c>
    </row>
    <row r="56" spans="1:8" ht="12.75" customHeight="1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425760000</v>
      </c>
      <c r="F56" s="85">
        <f>'C4-FinPerf RE'!E20</f>
        <v>0</v>
      </c>
      <c r="G56" s="98">
        <f>'C4-FinPerf RE'!G20</f>
        <v>300154917.01999998</v>
      </c>
      <c r="H56" s="49">
        <f>'C4-FinPerf RE'!K20</f>
        <v>425760000</v>
      </c>
    </row>
    <row r="57" spans="1:8" ht="12.75" customHeight="1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394023759</v>
      </c>
      <c r="F57" s="85">
        <f>'C4-FinPerf RE'!E40</f>
        <v>0</v>
      </c>
      <c r="G57" s="98">
        <f>'C4-FinPerf RE'!G40</f>
        <v>124425351.55000001</v>
      </c>
      <c r="H57" s="49">
        <f>'C4-FinPerf RE'!K40</f>
        <v>394023759</v>
      </c>
    </row>
    <row r="58" spans="1:8" ht="12.75" customHeight="1">
      <c r="A58" s="43" t="s">
        <v>557</v>
      </c>
      <c r="B58" s="68"/>
      <c r="C58" s="68"/>
      <c r="D58" s="85">
        <f>'C7-CFlow'!C10+'C7-CFlow'!C34</f>
        <v>0</v>
      </c>
      <c r="E58" s="85">
        <f>'C7-CFlow'!D10+'C7-CFlow'!D34</f>
        <v>19550545</v>
      </c>
      <c r="F58" s="85">
        <f>'C7-CFlow'!E10+'C7-CFlow'!E34</f>
        <v>0</v>
      </c>
      <c r="G58" s="98">
        <f>'C7-CFlow'!G14+'C7-CFlow'!G34</f>
        <v>-854546.62</v>
      </c>
      <c r="H58" s="49">
        <f>'C7-CFlow'!K14+'C7-CFlow'!K34</f>
        <v>-16000000</v>
      </c>
    </row>
    <row r="59" spans="1:8" ht="12.75" customHeight="1">
      <c r="A59" s="43" t="s">
        <v>663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873645000</v>
      </c>
      <c r="F59" s="85">
        <f>'C6-FinPos'!E9+'C6-FinPos'!E10+'C6-FinPos'!E11+'C6-FinPos'!E16</f>
        <v>0</v>
      </c>
      <c r="G59" s="98">
        <f>'C6-FinPos'!F9+'C6-FinPos'!F10+'C6-FinPos'!F11+'C6-FinPos'!F16</f>
        <v>0</v>
      </c>
      <c r="H59" s="49">
        <f>'C6-FinPos'!G9+'C6-FinPos'!G10+'C6-FinPos'!G11+'C6-FinPos'!G16</f>
        <v>873645000</v>
      </c>
    </row>
    <row r="60" spans="1:8" ht="12.75" customHeight="1">
      <c r="A60" s="43" t="s">
        <v>558</v>
      </c>
      <c r="B60" s="68"/>
      <c r="C60" s="68"/>
      <c r="D60" s="85">
        <f>SUM('C4-FinPerf RE'!C8:C12)</f>
        <v>0</v>
      </c>
      <c r="E60" s="85">
        <f>SUM('C4-FinPerf RE'!D8:D12)</f>
        <v>493884187.5</v>
      </c>
      <c r="F60" s="85">
        <f>SUM('C4-FinPerf RE'!E8:E12)</f>
        <v>0</v>
      </c>
      <c r="G60" s="98">
        <f>SUM('C4-FinPerf RE'!G8:G12)</f>
        <v>203223460.81</v>
      </c>
      <c r="H60" s="49"/>
    </row>
    <row r="61" spans="1:8" ht="12.75" customHeight="1">
      <c r="A61" s="43" t="s">
        <v>559</v>
      </c>
      <c r="B61" s="68" t="s">
        <v>560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69624000</v>
      </c>
      <c r="F61" s="85">
        <f>'C6-FinPos'!E7+'C6-FinPos'!E8+'C6-FinPos'!E17-'C6-FinPos'!E30</f>
        <v>0</v>
      </c>
      <c r="G61" s="98">
        <f>'C6-FinPos'!F7+'C6-FinPos'!F8+'C6-FinPos'!F17-'C6-FinPos'!F30</f>
        <v>0</v>
      </c>
      <c r="H61" s="49">
        <f>'C6-FinPos'!G7+'C6-FinPos'!G8+'C6-FinPos'!G17-'C6-FinPos'!G30</f>
        <v>69624000</v>
      </c>
    </row>
    <row r="62" spans="1:8" ht="12.75" customHeight="1">
      <c r="A62" s="43" t="s">
        <v>890</v>
      </c>
      <c r="B62" s="68"/>
      <c r="C62" s="68"/>
      <c r="D62" s="926"/>
      <c r="E62" s="926">
        <v>451681695</v>
      </c>
      <c r="F62" s="926"/>
      <c r="G62" s="926">
        <v>263567964</v>
      </c>
      <c r="H62" s="926">
        <v>451681695</v>
      </c>
    </row>
    <row r="63" spans="1:8" ht="12.75" customHeight="1">
      <c r="A63" s="43" t="s">
        <v>956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9">
        <f>'C6-FinPos'!F16</f>
        <v>0</v>
      </c>
      <c r="H63" s="344">
        <f>'C6-FinPos'!G16</f>
        <v>0</v>
      </c>
    </row>
    <row r="64" spans="1:8" ht="12.75" customHeight="1">
      <c r="A64" s="43" t="s">
        <v>889</v>
      </c>
      <c r="B64" s="68"/>
      <c r="C64" s="68"/>
      <c r="D64" s="781"/>
      <c r="E64" s="781"/>
      <c r="F64" s="781"/>
      <c r="G64" s="781"/>
      <c r="H64" s="782"/>
    </row>
    <row r="65" spans="1:8" ht="12.75" customHeight="1">
      <c r="A65" s="92" t="s">
        <v>957</v>
      </c>
      <c r="B65" s="341"/>
      <c r="C65" s="341"/>
      <c r="D65" s="783"/>
      <c r="E65" s="784"/>
      <c r="F65" s="784"/>
      <c r="G65" s="784"/>
      <c r="H65" s="785"/>
    </row>
    <row r="66" spans="1:8" ht="11.25" customHeight="1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3" type="noConversion"/>
  <printOptions horizontalCentered="1"/>
  <pageMargins left="0.36" right="0.21" top="0.52" bottom="0.4" header="0.51181102362204722" footer="0.38"/>
  <pageSetup paperSize="9"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N49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J28" sqref="J28"/>
    </sheetView>
  </sheetViews>
  <sheetFormatPr defaultRowHeight="21.75" customHeight="1"/>
  <cols>
    <col min="1" max="1" width="21.7109375" style="68" customWidth="1"/>
    <col min="2" max="2" width="5.140625" style="68" bestFit="1" customWidth="1"/>
    <col min="3" max="13" width="8.7109375" style="68" customWidth="1"/>
    <col min="14" max="16384" width="9.140625" style="68"/>
  </cols>
  <sheetData>
    <row r="1" spans="1:14" ht="13.35" customHeight="1">
      <c r="A1" s="994" t="str">
        <f>muni&amp; " - "&amp;S71I&amp; " - "&amp;Head57</f>
        <v>FS194 Maluti-a-Phofung - Supporting Table SC3 Monthly Budget Statement - aged debtors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413"/>
    </row>
    <row r="2" spans="1:14" ht="13.35" customHeight="1">
      <c r="A2" s="359" t="str">
        <f>desc</f>
        <v>Description</v>
      </c>
      <c r="B2" s="1003" t="s">
        <v>900</v>
      </c>
      <c r="C2" s="288" t="str">
        <f>Head2</f>
        <v>Budget Year 2013/14</v>
      </c>
      <c r="D2" s="138"/>
      <c r="E2" s="138"/>
      <c r="F2" s="138"/>
      <c r="G2" s="138"/>
      <c r="H2" s="138"/>
      <c r="I2" s="138"/>
      <c r="J2" s="138"/>
      <c r="K2" s="138"/>
      <c r="L2" s="139"/>
      <c r="M2" s="285" t="s">
        <v>633</v>
      </c>
    </row>
    <row r="3" spans="1:14" ht="12.75" customHeight="1">
      <c r="A3" s="702"/>
      <c r="B3" s="1005"/>
      <c r="C3" s="200" t="s">
        <v>16</v>
      </c>
      <c r="D3" s="142" t="s">
        <v>17</v>
      </c>
      <c r="E3" s="142" t="s">
        <v>18</v>
      </c>
      <c r="F3" s="142" t="s">
        <v>19</v>
      </c>
      <c r="G3" s="142" t="s">
        <v>20</v>
      </c>
      <c r="H3" s="142" t="s">
        <v>21</v>
      </c>
      <c r="I3" s="142" t="s">
        <v>22</v>
      </c>
      <c r="J3" s="165" t="s">
        <v>23</v>
      </c>
      <c r="K3" s="1005" t="s">
        <v>634</v>
      </c>
      <c r="L3" s="1001" t="s">
        <v>899</v>
      </c>
      <c r="M3" s="1003" t="s">
        <v>1090</v>
      </c>
    </row>
    <row r="4" spans="1:14" ht="13.35" customHeight="1">
      <c r="A4" s="35" t="s">
        <v>821</v>
      </c>
      <c r="B4" s="1004"/>
      <c r="C4" s="373"/>
      <c r="D4" s="374"/>
      <c r="E4" s="374"/>
      <c r="F4" s="374"/>
      <c r="G4" s="374"/>
      <c r="H4" s="374"/>
      <c r="I4" s="374"/>
      <c r="J4" s="375"/>
      <c r="K4" s="1004"/>
      <c r="L4" s="1002"/>
      <c r="M4" s="1004"/>
    </row>
    <row r="5" spans="1:14" ht="12.75">
      <c r="A5" s="88" t="s">
        <v>1118</v>
      </c>
      <c r="B5" s="170"/>
      <c r="C5" s="229"/>
      <c r="D5" s="166"/>
      <c r="E5" s="166"/>
      <c r="F5" s="166"/>
      <c r="G5" s="166"/>
      <c r="H5" s="166"/>
      <c r="I5" s="166"/>
      <c r="J5" s="289"/>
      <c r="K5" s="167"/>
      <c r="L5" s="185"/>
      <c r="M5" s="167"/>
    </row>
    <row r="6" spans="1:14" ht="12.75" customHeight="1">
      <c r="A6" s="40" t="s">
        <v>717</v>
      </c>
      <c r="B6" s="170">
        <v>1200</v>
      </c>
      <c r="C6" s="390">
        <f>11159982.65+9811067.3</f>
        <v>20971049.950000003</v>
      </c>
      <c r="D6" s="391">
        <f>9274311.45</f>
        <v>9274311.4499999993</v>
      </c>
      <c r="E6" s="391">
        <f>248692759.94-34050233.32</f>
        <v>214642526.62</v>
      </c>
      <c r="F6" s="752"/>
      <c r="G6" s="752"/>
      <c r="H6" s="752"/>
      <c r="I6" s="752"/>
      <c r="J6" s="763"/>
      <c r="K6" s="135">
        <f>SUM(C6:J6)</f>
        <v>244887888.02000001</v>
      </c>
      <c r="L6" s="766"/>
      <c r="M6" s="135">
        <f>SUM(F6:J6)</f>
        <v>0</v>
      </c>
    </row>
    <row r="7" spans="1:14" ht="12.75" customHeight="1">
      <c r="A7" s="40" t="s">
        <v>770</v>
      </c>
      <c r="B7" s="170" t="s">
        <v>901</v>
      </c>
      <c r="C7" s="390">
        <f>10495518.37+12234288.79</f>
        <v>22729807.159999996</v>
      </c>
      <c r="D7" s="391">
        <f>5347419.06</f>
        <v>5347419.0599999996</v>
      </c>
      <c r="E7" s="391">
        <f>47306249.24</f>
        <v>47306249.240000002</v>
      </c>
      <c r="F7" s="752"/>
      <c r="G7" s="752"/>
      <c r="H7" s="752"/>
      <c r="I7" s="752"/>
      <c r="J7" s="763"/>
      <c r="K7" s="135">
        <f t="shared" ref="K7:K12" si="0">SUM(C7:J7)</f>
        <v>75383475.459999993</v>
      </c>
      <c r="L7" s="766"/>
      <c r="M7" s="135">
        <f>SUM(F7:J7)</f>
        <v>0</v>
      </c>
    </row>
    <row r="8" spans="1:14" ht="12.75" customHeight="1">
      <c r="A8" s="40" t="s">
        <v>541</v>
      </c>
      <c r="B8" s="170">
        <v>1400</v>
      </c>
      <c r="C8" s="390">
        <f>4976597.37+6236537.24</f>
        <v>11213134.609999999</v>
      </c>
      <c r="D8" s="391">
        <f>4922046.81</f>
        <v>4922046.8099999996</v>
      </c>
      <c r="E8" s="391">
        <f>146940366.12</f>
        <v>146940366.12</v>
      </c>
      <c r="F8" s="752"/>
      <c r="G8" s="752"/>
      <c r="H8" s="752"/>
      <c r="I8" s="752"/>
      <c r="J8" s="763"/>
      <c r="K8" s="135">
        <f>SUM(C8:J8)</f>
        <v>163075547.53999999</v>
      </c>
      <c r="L8" s="766"/>
      <c r="M8" s="135">
        <f>SUM(F8:J8)</f>
        <v>0</v>
      </c>
    </row>
    <row r="9" spans="1:14" ht="12.75" customHeight="1">
      <c r="A9" s="40" t="s">
        <v>718</v>
      </c>
      <c r="B9" s="170" t="s">
        <v>902</v>
      </c>
      <c r="C9" s="390">
        <f>2351959.58+1996680.79</f>
        <v>4348640.37</v>
      </c>
      <c r="D9" s="391">
        <f>1796416.14</f>
        <v>1796416.14</v>
      </c>
      <c r="E9" s="391">
        <f>64858620.86</f>
        <v>64858620.859999999</v>
      </c>
      <c r="F9" s="752"/>
      <c r="G9" s="752"/>
      <c r="H9" s="752"/>
      <c r="I9" s="752"/>
      <c r="J9" s="763"/>
      <c r="K9" s="135">
        <f t="shared" si="0"/>
        <v>71003677.370000005</v>
      </c>
      <c r="L9" s="766"/>
      <c r="M9" s="135">
        <f t="shared" ref="M9:M14" si="1">SUM(F9:J9)</f>
        <v>0</v>
      </c>
    </row>
    <row r="10" spans="1:14" ht="12.75" customHeight="1">
      <c r="A10" s="40" t="s">
        <v>719</v>
      </c>
      <c r="B10" s="170" t="s">
        <v>903</v>
      </c>
      <c r="C10" s="390">
        <f>1730307.48+1532134.29</f>
        <v>3262441.77</v>
      </c>
      <c r="D10" s="391">
        <f>1424680.91</f>
        <v>1424680.91</v>
      </c>
      <c r="E10" s="391">
        <f>77626025.31</f>
        <v>77626025.310000002</v>
      </c>
      <c r="F10" s="752"/>
      <c r="G10" s="752"/>
      <c r="H10" s="752"/>
      <c r="I10" s="752"/>
      <c r="J10" s="763"/>
      <c r="K10" s="135">
        <f t="shared" si="0"/>
        <v>82313147.99000001</v>
      </c>
      <c r="L10" s="766"/>
      <c r="M10" s="135">
        <f t="shared" si="1"/>
        <v>0</v>
      </c>
    </row>
    <row r="11" spans="1:14" ht="12.75" customHeight="1">
      <c r="A11" s="40" t="s">
        <v>720</v>
      </c>
      <c r="B11" s="170" t="s">
        <v>904</v>
      </c>
      <c r="C11" s="390"/>
      <c r="D11" s="391"/>
      <c r="E11" s="391"/>
      <c r="F11" s="752"/>
      <c r="G11" s="752"/>
      <c r="H11" s="752"/>
      <c r="I11" s="752"/>
      <c r="J11" s="763"/>
      <c r="K11" s="135">
        <f t="shared" si="0"/>
        <v>0</v>
      </c>
      <c r="L11" s="766"/>
      <c r="M11" s="135">
        <f t="shared" si="1"/>
        <v>0</v>
      </c>
      <c r="N11" s="97"/>
    </row>
    <row r="12" spans="1:14" ht="12.75" customHeight="1">
      <c r="A12" s="40" t="s">
        <v>883</v>
      </c>
      <c r="B12" s="170" t="s">
        <v>905</v>
      </c>
      <c r="C12" s="390">
        <f>253813.24+505150.06</f>
        <v>758963.3</v>
      </c>
      <c r="D12" s="391">
        <f>227224.8</f>
        <v>227224.8</v>
      </c>
      <c r="E12" s="391">
        <f>70019378.71</f>
        <v>70019378.709999993</v>
      </c>
      <c r="F12" s="752"/>
      <c r="G12" s="752"/>
      <c r="H12" s="752"/>
      <c r="I12" s="752"/>
      <c r="J12" s="763"/>
      <c r="K12" s="135">
        <f t="shared" si="0"/>
        <v>71005566.809999987</v>
      </c>
      <c r="L12" s="766"/>
      <c r="M12" s="135">
        <f t="shared" si="1"/>
        <v>0</v>
      </c>
    </row>
    <row r="13" spans="1:14" ht="12.75" customHeight="1">
      <c r="A13" s="54" t="s">
        <v>1119</v>
      </c>
      <c r="B13" s="286" t="s">
        <v>839</v>
      </c>
      <c r="C13" s="57">
        <f t="shared" ref="C13:L13" si="2">SUM(C6:C12)</f>
        <v>63284037.159999996</v>
      </c>
      <c r="D13" s="56">
        <f t="shared" si="2"/>
        <v>22992099.169999998</v>
      </c>
      <c r="E13" s="56">
        <f t="shared" si="2"/>
        <v>621393166.86000013</v>
      </c>
      <c r="F13" s="56">
        <f t="shared" si="2"/>
        <v>0</v>
      </c>
      <c r="G13" s="56">
        <f t="shared" si="2"/>
        <v>0</v>
      </c>
      <c r="H13" s="56">
        <f t="shared" si="2"/>
        <v>0</v>
      </c>
      <c r="I13" s="56">
        <f t="shared" si="2"/>
        <v>0</v>
      </c>
      <c r="J13" s="84">
        <f t="shared" si="2"/>
        <v>0</v>
      </c>
      <c r="K13" s="113">
        <f t="shared" si="2"/>
        <v>707669303.18999994</v>
      </c>
      <c r="L13" s="55">
        <f t="shared" si="2"/>
        <v>0</v>
      </c>
      <c r="M13" s="113">
        <f t="shared" si="1"/>
        <v>0</v>
      </c>
    </row>
    <row r="14" spans="1:14" ht="12.75" customHeight="1">
      <c r="A14" s="317" t="str">
        <f>Head1&amp;" - totals only"</f>
        <v>2012/13 - totals only</v>
      </c>
      <c r="B14" s="371"/>
      <c r="C14" s="809"/>
      <c r="D14" s="810"/>
      <c r="E14" s="810"/>
      <c r="F14" s="810"/>
      <c r="G14" s="810"/>
      <c r="H14" s="810"/>
      <c r="I14" s="810"/>
      <c r="J14" s="811"/>
      <c r="K14" s="812">
        <f>SUM(C14:J14)</f>
        <v>0</v>
      </c>
      <c r="L14" s="811"/>
      <c r="M14" s="372">
        <f t="shared" si="1"/>
        <v>0</v>
      </c>
    </row>
    <row r="15" spans="1:14" ht="12.75" customHeight="1">
      <c r="A15" s="88" t="s">
        <v>24</v>
      </c>
      <c r="B15" s="170"/>
      <c r="C15" s="47"/>
      <c r="D15" s="45"/>
      <c r="E15" s="45"/>
      <c r="F15" s="45"/>
      <c r="G15" s="45"/>
      <c r="H15" s="45"/>
      <c r="I15" s="45"/>
      <c r="J15" s="109"/>
      <c r="K15" s="135"/>
      <c r="L15" s="46"/>
    </row>
    <row r="16" spans="1:14" ht="12.75" customHeight="1">
      <c r="A16" s="40" t="s">
        <v>840</v>
      </c>
      <c r="B16" s="170" t="s">
        <v>841</v>
      </c>
      <c r="C16" s="390">
        <f>12853556.1+14752169.12</f>
        <v>27605725.219999999</v>
      </c>
      <c r="D16" s="391">
        <f>8089093.88</f>
        <v>8089093.8799999999</v>
      </c>
      <c r="E16" s="391">
        <f>162951956.39</f>
        <v>162951956.38999999</v>
      </c>
      <c r="F16" s="752"/>
      <c r="G16" s="752"/>
      <c r="H16" s="752"/>
      <c r="I16" s="752"/>
      <c r="J16" s="763"/>
      <c r="K16" s="135">
        <f>SUM(C16:J16)</f>
        <v>198646775.48999998</v>
      </c>
      <c r="L16" s="766"/>
    </row>
    <row r="17" spans="1:12" ht="12.75" customHeight="1">
      <c r="A17" s="40" t="s">
        <v>842</v>
      </c>
      <c r="B17" s="170" t="s">
        <v>843</v>
      </c>
      <c r="C17" s="390">
        <f>5678975.44+3242894.29</f>
        <v>8921869.7300000004</v>
      </c>
      <c r="D17" s="391">
        <f>2604925.48</f>
        <v>2604925.48</v>
      </c>
      <c r="E17" s="391">
        <f>47598096.49</f>
        <v>47598096.490000002</v>
      </c>
      <c r="F17" s="752"/>
      <c r="G17" s="752"/>
      <c r="H17" s="752"/>
      <c r="I17" s="752"/>
      <c r="J17" s="763"/>
      <c r="K17" s="135">
        <f>SUM(C17:J17)</f>
        <v>59124891.700000003</v>
      </c>
      <c r="L17" s="766"/>
    </row>
    <row r="18" spans="1:12" ht="12.75" customHeight="1">
      <c r="A18" s="40" t="s">
        <v>844</v>
      </c>
      <c r="B18" s="170" t="s">
        <v>845</v>
      </c>
      <c r="C18" s="390">
        <f>10217495.19+11234346.64</f>
        <v>21451841.829999998</v>
      </c>
      <c r="D18" s="391">
        <f>9998979.6</f>
        <v>9998979.5999999996</v>
      </c>
      <c r="E18" s="391">
        <f>303481313.39</f>
        <v>303481313.38999999</v>
      </c>
      <c r="F18" s="752"/>
      <c r="G18" s="752"/>
      <c r="H18" s="752"/>
      <c r="I18" s="752"/>
      <c r="J18" s="763"/>
      <c r="K18" s="135">
        <f>SUM(C18:J18)</f>
        <v>334932134.81999999</v>
      </c>
      <c r="L18" s="766"/>
    </row>
    <row r="19" spans="1:12" ht="12.75" customHeight="1">
      <c r="A19" s="40" t="s">
        <v>883</v>
      </c>
      <c r="B19" s="170" t="s">
        <v>846</v>
      </c>
      <c r="C19" s="390">
        <f>30968178.69+32315858.47-(C16+C17+C18)</f>
        <v>5304600.3799999952</v>
      </c>
      <c r="D19" s="391">
        <f>22992099.17-(D16+D17+D18)</f>
        <v>2299100.2100000009</v>
      </c>
      <c r="E19" s="391">
        <f>655443400.18-(E16+E17+E18)-34050233.32</f>
        <v>107361800.58999997</v>
      </c>
      <c r="F19" s="752"/>
      <c r="G19" s="752"/>
      <c r="H19" s="752"/>
      <c r="I19" s="752"/>
      <c r="J19" s="763"/>
      <c r="K19" s="135">
        <f>SUM(C19:J19)</f>
        <v>114965501.17999998</v>
      </c>
      <c r="L19" s="766"/>
    </row>
    <row r="20" spans="1:12" ht="12.75" customHeight="1">
      <c r="A20" s="54" t="s">
        <v>25</v>
      </c>
      <c r="B20" s="286" t="s">
        <v>847</v>
      </c>
      <c r="C20" s="57">
        <f t="shared" ref="C20:I20" si="3">SUM(C16:C19)</f>
        <v>63284037.159999996</v>
      </c>
      <c r="D20" s="56">
        <f t="shared" si="3"/>
        <v>22992099.170000002</v>
      </c>
      <c r="E20" s="56">
        <f t="shared" si="3"/>
        <v>621393166.8599999</v>
      </c>
      <c r="F20" s="56">
        <f t="shared" si="3"/>
        <v>0</v>
      </c>
      <c r="G20" s="56">
        <f t="shared" si="3"/>
        <v>0</v>
      </c>
      <c r="H20" s="56">
        <f t="shared" si="3"/>
        <v>0</v>
      </c>
      <c r="I20" s="56">
        <f t="shared" si="3"/>
        <v>0</v>
      </c>
      <c r="J20" s="84">
        <f>SUM(J16:J19)</f>
        <v>0</v>
      </c>
      <c r="K20" s="113">
        <f>SUM(K16:K19)</f>
        <v>707669303.18999994</v>
      </c>
      <c r="L20" s="55">
        <f>SUM(L16:L19)</f>
        <v>0</v>
      </c>
    </row>
    <row r="21" spans="1:12" ht="12.75" customHeight="1">
      <c r="A21" s="58" t="s">
        <v>965</v>
      </c>
      <c r="B21" s="168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2.75">
      <c r="A22" s="81" t="s">
        <v>774</v>
      </c>
    </row>
    <row r="23" spans="1:12" ht="12.75">
      <c r="A23" s="81" t="s">
        <v>671</v>
      </c>
    </row>
    <row r="24" spans="1:12" ht="12.75">
      <c r="A24" s="81" t="s">
        <v>672</v>
      </c>
    </row>
    <row r="25" spans="1:12" ht="12.75">
      <c r="C25" s="44">
        <f>C13-C20</f>
        <v>0</v>
      </c>
      <c r="D25" s="44">
        <f t="shared" ref="D25:K25" si="4">D13-D20</f>
        <v>0</v>
      </c>
      <c r="E25" s="44">
        <f t="shared" si="4"/>
        <v>0</v>
      </c>
      <c r="F25" s="44">
        <f t="shared" si="4"/>
        <v>0</v>
      </c>
      <c r="G25" s="44">
        <f t="shared" si="4"/>
        <v>0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</row>
    <row r="26" spans="1:12" ht="12.75">
      <c r="C26" s="703" t="str">
        <f>IF(C25=0,"","MUST AGREE")</f>
        <v/>
      </c>
      <c r="D26" s="703" t="str">
        <f t="shared" ref="D26:K26" si="5">IF(D25=0,"","MUST AGREE")</f>
        <v/>
      </c>
      <c r="E26" s="703" t="str">
        <f t="shared" si="5"/>
        <v/>
      </c>
      <c r="F26" s="703" t="str">
        <f t="shared" si="5"/>
        <v/>
      </c>
      <c r="G26" s="703" t="str">
        <f t="shared" si="5"/>
        <v/>
      </c>
      <c r="H26" s="703" t="str">
        <f t="shared" si="5"/>
        <v/>
      </c>
      <c r="I26" s="703" t="str">
        <f t="shared" si="5"/>
        <v/>
      </c>
      <c r="J26" s="703" t="str">
        <f t="shared" si="5"/>
        <v/>
      </c>
      <c r="K26" s="703" t="str">
        <f t="shared" si="5"/>
        <v/>
      </c>
    </row>
    <row r="27" spans="1:12" ht="12.75"/>
    <row r="28" spans="1:12" ht="12.75"/>
    <row r="29" spans="1:12" ht="12.75"/>
    <row r="30" spans="1:12" ht="12.75"/>
    <row r="31" spans="1:12" ht="12.75"/>
    <row r="32" spans="1:12" ht="12.75"/>
    <row r="33" ht="12.75"/>
    <row r="34" ht="12.75"/>
    <row r="35" ht="12.75"/>
    <row r="36" ht="12.75"/>
    <row r="37" ht="12.75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</sheetData>
  <sheetProtection sheet="1" objects="1" scenarios="1"/>
  <mergeCells count="5">
    <mergeCell ref="A1:L1"/>
    <mergeCell ref="L3:L4"/>
    <mergeCell ref="M3:M4"/>
    <mergeCell ref="B2:B4"/>
    <mergeCell ref="K3:K4"/>
  </mergeCells>
  <phoneticPr fontId="3" type="noConversion"/>
  <printOptions horizontalCentered="1"/>
  <pageMargins left="0.35433070866141736" right="0.17" top="0.78" bottom="0.59055118110236227" header="0.51181102362204722" footer="0.39370078740157483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E22" sqref="E22"/>
    </sheetView>
  </sheetViews>
  <sheetFormatPr defaultRowHeight="21.75" customHeight="1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>
      <c r="A1" s="994" t="str">
        <f>muni&amp; " - "&amp;S71J&amp; " - "&amp;Head57</f>
        <v>FS194 Maluti-a-Phofung - Supporting Table SC4 Monthly Budget Statement - aged creditors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2" ht="12.75" customHeight="1">
      <c r="A2" s="983" t="str">
        <f>desc</f>
        <v>Description</v>
      </c>
      <c r="B2" s="1003" t="s">
        <v>900</v>
      </c>
      <c r="C2" s="138" t="str">
        <f>Head2</f>
        <v>Budget Year 2013/14</v>
      </c>
      <c r="D2" s="138"/>
      <c r="E2" s="138"/>
      <c r="F2" s="138"/>
      <c r="G2" s="138"/>
      <c r="H2" s="138"/>
      <c r="I2" s="138"/>
      <c r="J2" s="138"/>
      <c r="K2" s="139"/>
      <c r="L2" s="1010" t="s">
        <v>86</v>
      </c>
    </row>
    <row r="3" spans="1:12" ht="12.75" customHeight="1">
      <c r="A3" s="1015"/>
      <c r="B3" s="1005"/>
      <c r="C3" s="1006" t="s">
        <v>891</v>
      </c>
      <c r="D3" s="1008" t="s">
        <v>892</v>
      </c>
      <c r="E3" s="1008" t="s">
        <v>893</v>
      </c>
      <c r="F3" s="1008" t="s">
        <v>894</v>
      </c>
      <c r="G3" s="1008" t="s">
        <v>895</v>
      </c>
      <c r="H3" s="1008" t="s">
        <v>896</v>
      </c>
      <c r="I3" s="1008" t="s">
        <v>897</v>
      </c>
      <c r="J3" s="1013" t="s">
        <v>898</v>
      </c>
      <c r="K3" s="1001" t="s">
        <v>634</v>
      </c>
      <c r="L3" s="1011"/>
    </row>
    <row r="4" spans="1:12" ht="12.75" customHeight="1">
      <c r="A4" s="35" t="s">
        <v>821</v>
      </c>
      <c r="B4" s="1004"/>
      <c r="C4" s="1007"/>
      <c r="D4" s="1009"/>
      <c r="E4" s="1009"/>
      <c r="F4" s="1009"/>
      <c r="G4" s="1009"/>
      <c r="H4" s="1009"/>
      <c r="I4" s="1009"/>
      <c r="J4" s="1014"/>
      <c r="K4" s="1004"/>
      <c r="L4" s="1012"/>
    </row>
    <row r="5" spans="1:12" ht="12.75" customHeight="1">
      <c r="A5" s="88" t="s">
        <v>817</v>
      </c>
      <c r="B5" s="170"/>
      <c r="C5" s="290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>
      <c r="A6" s="40" t="s">
        <v>848</v>
      </c>
      <c r="B6" s="170" t="s">
        <v>849</v>
      </c>
      <c r="C6" s="772">
        <v>10964912</v>
      </c>
      <c r="D6" s="752"/>
      <c r="E6" s="752"/>
      <c r="F6" s="752"/>
      <c r="G6" s="752"/>
      <c r="H6" s="752"/>
      <c r="I6" s="752"/>
      <c r="J6" s="754"/>
      <c r="K6" s="110">
        <f>SUM(C6:J6)</f>
        <v>10964912</v>
      </c>
      <c r="L6" s="767"/>
    </row>
    <row r="7" spans="1:12" ht="12.75" customHeight="1">
      <c r="A7" s="40" t="s">
        <v>850</v>
      </c>
      <c r="B7" s="170" t="s">
        <v>851</v>
      </c>
      <c r="C7" s="772">
        <v>0</v>
      </c>
      <c r="D7" s="752"/>
      <c r="E7" s="752"/>
      <c r="F7" s="752"/>
      <c r="G7" s="752"/>
      <c r="H7" s="752"/>
      <c r="I7" s="752"/>
      <c r="J7" s="754"/>
      <c r="K7" s="110">
        <f t="shared" ref="K7:K13" si="0">SUM(C7:J7)</f>
        <v>0</v>
      </c>
      <c r="L7" s="767"/>
    </row>
    <row r="8" spans="1:12" ht="12.75" customHeight="1">
      <c r="A8" s="40" t="s">
        <v>852</v>
      </c>
      <c r="B8" s="170" t="s">
        <v>853</v>
      </c>
      <c r="C8" s="772">
        <v>1912135</v>
      </c>
      <c r="D8" s="752"/>
      <c r="E8" s="752"/>
      <c r="F8" s="752"/>
      <c r="G8" s="752"/>
      <c r="H8" s="752"/>
      <c r="I8" s="752"/>
      <c r="J8" s="754"/>
      <c r="K8" s="110">
        <f t="shared" si="0"/>
        <v>1912135</v>
      </c>
      <c r="L8" s="767"/>
    </row>
    <row r="9" spans="1:12" ht="12.75" customHeight="1">
      <c r="A9" s="40" t="s">
        <v>742</v>
      </c>
      <c r="B9" s="170" t="s">
        <v>743</v>
      </c>
      <c r="C9" s="772">
        <v>0</v>
      </c>
      <c r="D9" s="752"/>
      <c r="E9" s="752"/>
      <c r="F9" s="752"/>
      <c r="G9" s="752"/>
      <c r="H9" s="752"/>
      <c r="I9" s="752"/>
      <c r="J9" s="754"/>
      <c r="K9" s="110">
        <f t="shared" si="0"/>
        <v>0</v>
      </c>
      <c r="L9" s="767"/>
    </row>
    <row r="10" spans="1:12" ht="12.75" customHeight="1">
      <c r="A10" s="40" t="s">
        <v>744</v>
      </c>
      <c r="B10" s="170" t="s">
        <v>745</v>
      </c>
      <c r="C10" s="772">
        <v>2490402</v>
      </c>
      <c r="D10" s="752"/>
      <c r="E10" s="752"/>
      <c r="F10" s="752"/>
      <c r="G10" s="752"/>
      <c r="H10" s="752"/>
      <c r="I10" s="752"/>
      <c r="J10" s="754"/>
      <c r="K10" s="110">
        <f t="shared" si="0"/>
        <v>2490402</v>
      </c>
      <c r="L10" s="767"/>
    </row>
    <row r="11" spans="1:12" ht="12.75" customHeight="1">
      <c r="A11" s="40" t="s">
        <v>746</v>
      </c>
      <c r="B11" s="170" t="s">
        <v>747</v>
      </c>
      <c r="C11" s="772">
        <v>0</v>
      </c>
      <c r="D11" s="752"/>
      <c r="E11" s="752"/>
      <c r="F11" s="752"/>
      <c r="G11" s="752"/>
      <c r="H11" s="752"/>
      <c r="I11" s="752"/>
      <c r="J11" s="754"/>
      <c r="K11" s="110">
        <f t="shared" si="0"/>
        <v>0</v>
      </c>
      <c r="L11" s="767"/>
    </row>
    <row r="12" spans="1:12" ht="12.75" customHeight="1">
      <c r="A12" s="40" t="s">
        <v>748</v>
      </c>
      <c r="B12" s="170" t="s">
        <v>749</v>
      </c>
      <c r="C12" s="772">
        <v>4625803</v>
      </c>
      <c r="D12" s="752"/>
      <c r="E12" s="752"/>
      <c r="F12" s="752"/>
      <c r="G12" s="752"/>
      <c r="H12" s="752"/>
      <c r="I12" s="752"/>
      <c r="J12" s="754"/>
      <c r="K12" s="110">
        <f t="shared" si="0"/>
        <v>4625803</v>
      </c>
      <c r="L12" s="767"/>
    </row>
    <row r="13" spans="1:12" ht="12.75" customHeight="1">
      <c r="A13" s="40" t="s">
        <v>750</v>
      </c>
      <c r="B13" s="170" t="s">
        <v>751</v>
      </c>
      <c r="C13" s="772">
        <v>0</v>
      </c>
      <c r="D13" s="752"/>
      <c r="E13" s="752"/>
      <c r="F13" s="752"/>
      <c r="G13" s="752"/>
      <c r="H13" s="752"/>
      <c r="I13" s="752"/>
      <c r="J13" s="754"/>
      <c r="K13" s="110">
        <f t="shared" si="0"/>
        <v>0</v>
      </c>
      <c r="L13" s="767"/>
    </row>
    <row r="14" spans="1:12" ht="12.75" customHeight="1">
      <c r="A14" s="40" t="s">
        <v>883</v>
      </c>
      <c r="B14" s="170" t="s">
        <v>752</v>
      </c>
      <c r="C14" s="772">
        <v>0</v>
      </c>
      <c r="D14" s="752"/>
      <c r="E14" s="752"/>
      <c r="F14" s="752"/>
      <c r="G14" s="752"/>
      <c r="H14" s="752"/>
      <c r="I14" s="752"/>
      <c r="J14" s="754"/>
      <c r="K14" s="110">
        <f>SUM(C14:J14)</f>
        <v>0</v>
      </c>
      <c r="L14" s="767"/>
    </row>
    <row r="15" spans="1:12" ht="12.75" customHeight="1">
      <c r="A15" s="54" t="s">
        <v>1109</v>
      </c>
      <c r="B15" s="286" t="s">
        <v>847</v>
      </c>
      <c r="C15" s="272">
        <f>SUM(C6:C14)</f>
        <v>19993252</v>
      </c>
      <c r="D15" s="56">
        <f t="shared" ref="D15:J15" si="1">SUM(D6:D14)</f>
        <v>0</v>
      </c>
      <c r="E15" s="56">
        <f t="shared" si="1"/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19993252</v>
      </c>
      <c r="L15" s="161">
        <f>SUM(L6:L14)</f>
        <v>0</v>
      </c>
    </row>
    <row r="16" spans="1:12" ht="12.75" customHeight="1">
      <c r="A16" s="58" t="s">
        <v>965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>
      <c r="A17" s="122" t="s">
        <v>773</v>
      </c>
    </row>
    <row r="18" spans="1:1" ht="12.75"/>
    <row r="19" spans="1:1" ht="12.75"/>
    <row r="20" spans="1:1" ht="12.75"/>
    <row r="21" spans="1:1" ht="12.75"/>
    <row r="22" spans="1:1" ht="12.75"/>
    <row r="23" spans="1:1" ht="12.75"/>
    <row r="24" spans="1:1" ht="12.75"/>
    <row r="25" spans="1:1" ht="12.75"/>
    <row r="26" spans="1:1" ht="12.75"/>
    <row r="27" spans="1:1" ht="12.75"/>
    <row r="28" spans="1:1" ht="12.75"/>
    <row r="29" spans="1:1" ht="12.75"/>
    <row r="30" spans="1:1" ht="12.75"/>
    <row r="31" spans="1:1" ht="12.75" customHeight="1"/>
    <row r="32" spans="1:1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3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Normal="100" zoomScaleSheetLayoutView="100" workbookViewId="0">
      <pane xSplit="1" ySplit="3" topLeftCell="B4" activePane="bottomRight" state="frozen"/>
      <selection activeCell="B2" sqref="B2"/>
      <selection pane="topRight" activeCell="B2" sqref="B2"/>
      <selection pane="bottomLeft" activeCell="B2" sqref="B2"/>
      <selection pane="bottomRight" activeCell="J37" sqref="J37"/>
    </sheetView>
  </sheetViews>
  <sheetFormatPr defaultRowHeight="12.7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>
      <c r="A1" s="994" t="str">
        <f>muni&amp; " - "&amp;S71K&amp; " - "&amp;Head57</f>
        <v>FS194 Maluti-a-Phofung - Supporting Table SC5 Monthly Budget Statement - investment portfolio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68"/>
    </row>
    <row r="2" spans="1:11" ht="54" customHeight="1">
      <c r="A2" s="271" t="s">
        <v>1081</v>
      </c>
      <c r="B2" s="1003" t="s">
        <v>715</v>
      </c>
      <c r="C2" s="26" t="s">
        <v>142</v>
      </c>
      <c r="D2" s="1016" t="s">
        <v>759</v>
      </c>
      <c r="E2" s="1016" t="s">
        <v>760</v>
      </c>
      <c r="F2" s="1016" t="s">
        <v>678</v>
      </c>
      <c r="G2" s="1016" t="s">
        <v>71</v>
      </c>
      <c r="H2" s="1016" t="s">
        <v>679</v>
      </c>
      <c r="I2" s="1016" t="s">
        <v>1076</v>
      </c>
      <c r="J2" s="1018" t="s">
        <v>1077</v>
      </c>
      <c r="K2" s="285" t="s">
        <v>633</v>
      </c>
    </row>
    <row r="3" spans="1:11" ht="12.75" customHeight="1">
      <c r="A3" s="35" t="s">
        <v>821</v>
      </c>
      <c r="B3" s="1004"/>
      <c r="C3" s="420" t="s">
        <v>143</v>
      </c>
      <c r="D3" s="1017"/>
      <c r="E3" s="1017"/>
      <c r="F3" s="1017"/>
      <c r="G3" s="1017"/>
      <c r="H3" s="1017"/>
      <c r="I3" s="1017"/>
      <c r="J3" s="1019"/>
      <c r="K3" s="29"/>
    </row>
    <row r="4" spans="1:11" ht="12.75" customHeight="1">
      <c r="A4" s="557" t="s">
        <v>443</v>
      </c>
      <c r="B4" s="172"/>
      <c r="C4" s="560"/>
      <c r="D4" s="542"/>
      <c r="E4" s="542"/>
      <c r="F4" s="542"/>
      <c r="G4" s="542"/>
      <c r="H4" s="542"/>
      <c r="I4" s="542"/>
      <c r="J4" s="543"/>
    </row>
    <row r="5" spans="1:11" ht="12.75" customHeight="1">
      <c r="A5" s="786"/>
      <c r="B5" s="170"/>
      <c r="C5" s="390"/>
      <c r="D5" s="391"/>
      <c r="E5" s="391" t="s">
        <v>1389</v>
      </c>
      <c r="F5" s="391"/>
      <c r="G5" s="922"/>
      <c r="H5" s="754">
        <v>211854.5</v>
      </c>
      <c r="I5" s="391"/>
      <c r="J5" s="754">
        <f t="shared" ref="J5:J11" si="0">H5+I5</f>
        <v>211854.5</v>
      </c>
    </row>
    <row r="6" spans="1:11" ht="12.75" customHeight="1">
      <c r="A6" s="786"/>
      <c r="B6" s="170"/>
      <c r="C6" s="390"/>
      <c r="D6" s="391"/>
      <c r="E6" s="391" t="s">
        <v>1404</v>
      </c>
      <c r="F6" s="391"/>
      <c r="G6" s="922"/>
      <c r="H6" s="391">
        <v>0</v>
      </c>
      <c r="I6" s="391"/>
      <c r="J6" s="754">
        <f t="shared" si="0"/>
        <v>0</v>
      </c>
    </row>
    <row r="7" spans="1:11" ht="12.75" customHeight="1">
      <c r="A7" s="786"/>
      <c r="B7" s="170"/>
      <c r="C7" s="390"/>
      <c r="D7" s="391"/>
      <c r="E7" s="391" t="s">
        <v>1405</v>
      </c>
      <c r="F7" s="391"/>
      <c r="G7" s="922"/>
      <c r="H7" s="391">
        <v>0</v>
      </c>
      <c r="I7" s="391"/>
      <c r="J7" s="754">
        <f t="shared" si="0"/>
        <v>0</v>
      </c>
    </row>
    <row r="8" spans="1:11" ht="12.75" customHeight="1">
      <c r="A8" s="786"/>
      <c r="B8" s="170"/>
      <c r="C8" s="390"/>
      <c r="D8" s="391"/>
      <c r="E8" s="391"/>
      <c r="F8" s="391"/>
      <c r="G8" s="922"/>
      <c r="H8" s="754">
        <f>1387087.1+331992.61</f>
        <v>1719079.71</v>
      </c>
      <c r="I8" s="391">
        <f>5816.34</f>
        <v>5816.34</v>
      </c>
      <c r="J8" s="754">
        <f t="shared" si="0"/>
        <v>1724896.05</v>
      </c>
    </row>
    <row r="9" spans="1:11" ht="12.75" customHeight="1">
      <c r="A9" s="786"/>
      <c r="B9" s="170"/>
      <c r="C9" s="390"/>
      <c r="D9" s="391"/>
      <c r="E9" s="391"/>
      <c r="F9" s="391"/>
      <c r="G9" s="922"/>
      <c r="H9" s="754">
        <f>86747.45+1406.16+9839.64</f>
        <v>97993.25</v>
      </c>
      <c r="I9" s="391">
        <f>331.54+1.15+32.59</f>
        <v>365.28</v>
      </c>
      <c r="J9" s="754">
        <f t="shared" si="0"/>
        <v>98358.53</v>
      </c>
    </row>
    <row r="10" spans="1:11" ht="12.75" customHeight="1">
      <c r="A10" s="786"/>
      <c r="B10" s="170"/>
      <c r="C10" s="390"/>
      <c r="D10" s="391"/>
      <c r="E10" s="391"/>
      <c r="F10" s="391"/>
      <c r="G10" s="922"/>
      <c r="H10" s="754">
        <v>0</v>
      </c>
      <c r="I10" s="391"/>
      <c r="J10" s="754">
        <f t="shared" si="0"/>
        <v>0</v>
      </c>
    </row>
    <row r="11" spans="1:11" ht="12.75" customHeight="1">
      <c r="A11" s="786"/>
      <c r="B11" s="170"/>
      <c r="C11" s="390"/>
      <c r="D11" s="391"/>
      <c r="E11" s="391"/>
      <c r="F11" s="391"/>
      <c r="G11" s="922"/>
      <c r="H11" s="754">
        <v>67833.23</v>
      </c>
      <c r="I11" s="391">
        <v>259.25</v>
      </c>
      <c r="J11" s="754">
        <f t="shared" si="0"/>
        <v>68092.479999999996</v>
      </c>
    </row>
    <row r="12" spans="1:11" ht="12.75" customHeight="1">
      <c r="A12" s="555" t="s">
        <v>144</v>
      </c>
      <c r="B12" s="170"/>
      <c r="C12" s="564"/>
      <c r="D12" s="562"/>
      <c r="E12" s="562"/>
      <c r="F12" s="622">
        <f>SUM(F5:F11)</f>
        <v>0</v>
      </c>
      <c r="G12" s="563"/>
      <c r="H12" s="622">
        <f>SUM(H5:H11)</f>
        <v>2096760.69</v>
      </c>
      <c r="I12" s="622">
        <f>SUM(I5:I11)</f>
        <v>6440.87</v>
      </c>
      <c r="J12" s="624">
        <f>SUM(J5:J11)</f>
        <v>2103201.56</v>
      </c>
    </row>
    <row r="13" spans="1:11" ht="3.75" customHeight="1">
      <c r="A13" s="556"/>
      <c r="B13" s="170"/>
      <c r="C13" s="560"/>
      <c r="D13" s="542"/>
      <c r="E13" s="542"/>
      <c r="F13" s="542"/>
      <c r="G13" s="561"/>
      <c r="H13" s="542"/>
      <c r="I13" s="542"/>
      <c r="J13" s="543"/>
    </row>
    <row r="14" spans="1:11" ht="12.75" customHeight="1">
      <c r="A14" s="557" t="s">
        <v>145</v>
      </c>
      <c r="B14" s="170"/>
      <c r="C14" s="560"/>
      <c r="D14" s="542"/>
      <c r="E14" s="542"/>
      <c r="F14" s="542"/>
      <c r="G14" s="561"/>
      <c r="H14" s="542"/>
      <c r="I14" s="542"/>
      <c r="J14" s="543"/>
    </row>
    <row r="15" spans="1:11" ht="12.75" customHeight="1">
      <c r="A15" s="787"/>
      <c r="B15" s="170"/>
      <c r="C15" s="764"/>
      <c r="D15" s="752"/>
      <c r="E15" s="752"/>
      <c r="F15" s="752"/>
      <c r="G15" s="780"/>
      <c r="H15" s="752"/>
      <c r="I15" s="752"/>
      <c r="J15" s="754"/>
    </row>
    <row r="16" spans="1:11" ht="12.75" customHeight="1">
      <c r="A16" s="787"/>
      <c r="B16" s="170"/>
      <c r="C16" s="764"/>
      <c r="D16" s="752"/>
      <c r="E16" s="752"/>
      <c r="F16" s="752"/>
      <c r="G16" s="780"/>
      <c r="H16" s="752"/>
      <c r="I16" s="752"/>
      <c r="J16" s="754"/>
    </row>
    <row r="17" spans="1:16" ht="12.75" customHeight="1">
      <c r="A17" s="787"/>
      <c r="B17" s="170"/>
      <c r="C17" s="764"/>
      <c r="D17" s="752"/>
      <c r="E17" s="752"/>
      <c r="F17" s="752"/>
      <c r="G17" s="780"/>
      <c r="H17" s="752"/>
      <c r="I17" s="752"/>
      <c r="J17" s="754"/>
    </row>
    <row r="18" spans="1:16" ht="12.75" customHeight="1">
      <c r="A18" s="787"/>
      <c r="B18" s="170"/>
      <c r="C18" s="764"/>
      <c r="D18" s="752"/>
      <c r="E18" s="752"/>
      <c r="F18" s="752"/>
      <c r="G18" s="780"/>
      <c r="H18" s="752"/>
      <c r="I18" s="752"/>
      <c r="J18" s="754"/>
    </row>
    <row r="19" spans="1:16" ht="12.75" customHeight="1">
      <c r="A19" s="787"/>
      <c r="B19" s="170"/>
      <c r="C19" s="764"/>
      <c r="D19" s="752"/>
      <c r="E19" s="752"/>
      <c r="F19" s="752"/>
      <c r="G19" s="780"/>
      <c r="H19" s="752"/>
      <c r="I19" s="752"/>
      <c r="J19" s="754"/>
    </row>
    <row r="20" spans="1:16" ht="12.75" customHeight="1">
      <c r="A20" s="787"/>
      <c r="B20" s="170"/>
      <c r="C20" s="764"/>
      <c r="D20" s="752"/>
      <c r="E20" s="752"/>
      <c r="F20" s="752"/>
      <c r="G20" s="780"/>
      <c r="H20" s="752"/>
      <c r="I20" s="752"/>
      <c r="J20" s="754"/>
    </row>
    <row r="21" spans="1:16" ht="12.75" customHeight="1">
      <c r="A21" s="787"/>
      <c r="B21" s="170"/>
      <c r="C21" s="764"/>
      <c r="D21" s="752"/>
      <c r="E21" s="752"/>
      <c r="F21" s="752"/>
      <c r="G21" s="780"/>
      <c r="H21" s="752"/>
      <c r="I21" s="752"/>
      <c r="J21" s="754"/>
    </row>
    <row r="22" spans="1:16" ht="12.75" customHeight="1">
      <c r="A22" s="555" t="s">
        <v>146</v>
      </c>
      <c r="B22" s="170"/>
      <c r="C22" s="564"/>
      <c r="D22" s="562"/>
      <c r="E22" s="562"/>
      <c r="F22" s="622">
        <f>SUM(F15:F21)</f>
        <v>0</v>
      </c>
      <c r="G22" s="563"/>
      <c r="H22" s="622">
        <f>SUM(H15:H21)</f>
        <v>0</v>
      </c>
      <c r="I22" s="622">
        <f>SUM(I15:I21)</f>
        <v>0</v>
      </c>
      <c r="J22" s="624">
        <f>SUM(J15:J21)</f>
        <v>0</v>
      </c>
    </row>
    <row r="23" spans="1:16" ht="3.75" customHeight="1">
      <c r="A23" s="556"/>
      <c r="B23" s="170"/>
      <c r="C23" s="560"/>
      <c r="D23" s="542"/>
      <c r="E23" s="542"/>
      <c r="F23" s="542"/>
      <c r="G23" s="561"/>
      <c r="H23" s="542"/>
      <c r="I23" s="542"/>
      <c r="J23" s="543"/>
    </row>
    <row r="24" spans="1:16" ht="12.75" customHeight="1">
      <c r="A24" s="558" t="s">
        <v>147</v>
      </c>
      <c r="B24" s="237">
        <v>2</v>
      </c>
      <c r="C24" s="559"/>
      <c r="D24" s="293"/>
      <c r="E24" s="293"/>
      <c r="F24" s="56">
        <f>F12+F22</f>
        <v>0</v>
      </c>
      <c r="G24" s="732"/>
      <c r="H24" s="56">
        <f>H12+H22</f>
        <v>2096760.69</v>
      </c>
      <c r="I24" s="56">
        <f>I12+I22</f>
        <v>6440.87</v>
      </c>
      <c r="J24" s="236">
        <f>J12+J22</f>
        <v>2103201.56</v>
      </c>
    </row>
    <row r="25" spans="1:16" ht="12.75" customHeight="1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>
      <c r="A26" s="81" t="s">
        <v>1078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>
      <c r="A27" s="61" t="s">
        <v>673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/>
    <row r="30" spans="1:16" ht="11.25" customHeight="1"/>
    <row r="31" spans="1:16" ht="11.25" customHeight="1"/>
    <row r="32" spans="1:16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5" ht="11.25" customHeight="1"/>
    <row r="56" ht="5.0999999999999996" customHeight="1"/>
    <row r="57" ht="11.25" customHeight="1"/>
    <row r="58" ht="11.25" customHeight="1"/>
    <row r="59" ht="5.0999999999999996" customHeight="1"/>
    <row r="60" ht="11.25" customHeight="1"/>
    <row r="61" ht="11.25" customHeight="1"/>
    <row r="62" ht="11.25" customHeight="1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3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100" zoomScaleSheetLayoutView="100" workbookViewId="0">
      <pane xSplit="2" ySplit="4" topLeftCell="C29" activePane="bottomRight" state="frozen"/>
      <selection activeCell="B2" sqref="B2"/>
      <selection pane="topRight" activeCell="B2" sqref="B2"/>
      <selection pane="bottomLeft" activeCell="B2" sqref="B2"/>
      <selection pane="bottomRight" activeCell="G52" sqref="G52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"&amp;S71L&amp; " - "&amp;Head57</f>
        <v>FS194 Maluti-a-Phofung - Supporting Table SC6 Monthly Budget Statement - transfers and grant receipts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36" t="s">
        <v>1166</v>
      </c>
      <c r="B5" s="170" t="s">
        <v>1149</v>
      </c>
      <c r="C5" s="53"/>
      <c r="D5" s="304"/>
      <c r="E5" s="305"/>
      <c r="F5" s="305"/>
      <c r="G5" s="305"/>
      <c r="H5" s="305"/>
      <c r="I5" s="305"/>
      <c r="J5" s="305"/>
      <c r="K5" s="306"/>
    </row>
    <row r="6" spans="1:11" ht="5.0999999999999996" customHeight="1">
      <c r="A6" s="36"/>
      <c r="B6" s="170"/>
      <c r="C6" s="53"/>
      <c r="D6" s="304"/>
      <c r="E6" s="305"/>
      <c r="F6" s="305"/>
      <c r="G6" s="305"/>
      <c r="H6" s="305"/>
      <c r="I6" s="305"/>
      <c r="J6" s="305"/>
      <c r="K6" s="306"/>
    </row>
    <row r="7" spans="1:11" ht="12.75" customHeight="1">
      <c r="A7" s="557" t="s">
        <v>66</v>
      </c>
      <c r="B7" s="170"/>
      <c r="C7" s="53"/>
      <c r="D7" s="304"/>
      <c r="E7" s="305"/>
      <c r="F7" s="305"/>
      <c r="G7" s="305"/>
      <c r="H7" s="305"/>
      <c r="I7" s="305"/>
      <c r="J7" s="305"/>
      <c r="K7" s="306"/>
    </row>
    <row r="8" spans="1:11" ht="15.75" customHeight="1">
      <c r="A8" s="107" t="s">
        <v>775</v>
      </c>
      <c r="B8" s="170"/>
      <c r="C8" s="110">
        <f t="shared" ref="C8:I8" si="0">SUM(C9:C19)</f>
        <v>0</v>
      </c>
      <c r="D8" s="52">
        <f t="shared" si="0"/>
        <v>348037000</v>
      </c>
      <c r="E8" s="51">
        <f t="shared" si="0"/>
        <v>0</v>
      </c>
      <c r="F8" s="51">
        <f t="shared" si="0"/>
        <v>0</v>
      </c>
      <c r="G8" s="51">
        <f t="shared" si="0"/>
        <v>260933000</v>
      </c>
      <c r="H8" s="51">
        <f t="shared" si="0"/>
        <v>348037000</v>
      </c>
      <c r="I8" s="51">
        <f t="shared" si="0"/>
        <v>0</v>
      </c>
      <c r="J8" s="347" t="str">
        <f t="shared" ref="J8:J38" si="1">IF(I8=0,"",I8/H8)</f>
        <v/>
      </c>
      <c r="K8" s="195">
        <f>SUM(K9:K19)</f>
        <v>348037000</v>
      </c>
    </row>
    <row r="9" spans="1:11" ht="12.75" customHeight="1">
      <c r="A9" s="788" t="s">
        <v>1184</v>
      </c>
      <c r="B9" s="170"/>
      <c r="C9" s="789"/>
      <c r="D9" s="790">
        <v>1500000</v>
      </c>
      <c r="E9" s="753"/>
      <c r="F9" s="753"/>
      <c r="G9" s="753">
        <v>1500000</v>
      </c>
      <c r="H9" s="753">
        <v>1500000</v>
      </c>
      <c r="I9" s="521">
        <f t="shared" ref="I9:I19" si="2">G9-H9</f>
        <v>0</v>
      </c>
      <c r="J9" s="565" t="str">
        <f t="shared" si="1"/>
        <v/>
      </c>
      <c r="K9" s="755">
        <v>1500000</v>
      </c>
    </row>
    <row r="10" spans="1:11" ht="12.75" customHeight="1">
      <c r="A10" s="788" t="s">
        <v>710</v>
      </c>
      <c r="B10" s="170"/>
      <c r="C10" s="767"/>
      <c r="D10" s="764">
        <v>800000</v>
      </c>
      <c r="E10" s="752"/>
      <c r="F10" s="752"/>
      <c r="G10" s="752">
        <f>800000</f>
        <v>800000</v>
      </c>
      <c r="H10" s="752">
        <v>800000</v>
      </c>
      <c r="I10" s="45"/>
      <c r="J10" s="125"/>
      <c r="K10" s="754">
        <v>800000</v>
      </c>
    </row>
    <row r="11" spans="1:11" ht="12.75" customHeight="1">
      <c r="A11" s="788" t="s">
        <v>1182</v>
      </c>
      <c r="B11" s="170"/>
      <c r="C11" s="767"/>
      <c r="D11" s="764">
        <v>338076000</v>
      </c>
      <c r="E11" s="752"/>
      <c r="F11" s="752"/>
      <c r="G11" s="752">
        <f>140865000+112662000</f>
        <v>253527000</v>
      </c>
      <c r="H11" s="752">
        <v>338076000</v>
      </c>
      <c r="I11" s="45"/>
      <c r="J11" s="125"/>
      <c r="K11" s="754">
        <v>338076000</v>
      </c>
    </row>
    <row r="12" spans="1:11" ht="12.75" customHeight="1">
      <c r="A12" s="788" t="s">
        <v>1185</v>
      </c>
      <c r="B12" s="170"/>
      <c r="C12" s="767"/>
      <c r="D12" s="764">
        <v>7661000</v>
      </c>
      <c r="E12" s="752"/>
      <c r="F12" s="752"/>
      <c r="G12" s="752">
        <f>2553000+2553000</f>
        <v>5106000</v>
      </c>
      <c r="H12" s="752">
        <v>7661000</v>
      </c>
      <c r="I12" s="45"/>
      <c r="J12" s="125"/>
      <c r="K12" s="754">
        <v>7661000</v>
      </c>
    </row>
    <row r="13" spans="1:11" ht="12.75" customHeight="1">
      <c r="A13" s="788"/>
      <c r="B13" s="170"/>
      <c r="C13" s="767"/>
      <c r="D13" s="764"/>
      <c r="E13" s="752"/>
      <c r="F13" s="752"/>
      <c r="G13" s="752"/>
      <c r="H13" s="752"/>
      <c r="I13" s="45"/>
      <c r="J13" s="125"/>
      <c r="K13" s="754"/>
    </row>
    <row r="14" spans="1:11" ht="12.75" customHeight="1">
      <c r="A14" s="788"/>
      <c r="B14" s="170">
        <v>3</v>
      </c>
      <c r="C14" s="767"/>
      <c r="D14" s="764"/>
      <c r="E14" s="752"/>
      <c r="F14" s="752"/>
      <c r="G14" s="752"/>
      <c r="H14" s="752"/>
      <c r="I14" s="45">
        <f t="shared" si="2"/>
        <v>0</v>
      </c>
      <c r="J14" s="125" t="str">
        <f t="shared" si="1"/>
        <v/>
      </c>
      <c r="K14" s="754"/>
    </row>
    <row r="15" spans="1:11" ht="12.75" customHeight="1">
      <c r="A15" s="788"/>
      <c r="B15" s="170"/>
      <c r="C15" s="767"/>
      <c r="D15" s="764"/>
      <c r="E15" s="752"/>
      <c r="F15" s="752"/>
      <c r="G15" s="752"/>
      <c r="H15" s="752"/>
      <c r="I15" s="45">
        <f t="shared" si="2"/>
        <v>0</v>
      </c>
      <c r="J15" s="125" t="str">
        <f t="shared" si="1"/>
        <v/>
      </c>
      <c r="K15" s="754"/>
    </row>
    <row r="16" spans="1:11" ht="12.75" customHeight="1">
      <c r="A16" s="788"/>
      <c r="B16" s="170"/>
      <c r="C16" s="767"/>
      <c r="D16" s="764"/>
      <c r="E16" s="752"/>
      <c r="F16" s="752"/>
      <c r="G16" s="752"/>
      <c r="H16" s="752"/>
      <c r="I16" s="45">
        <f t="shared" si="2"/>
        <v>0</v>
      </c>
      <c r="J16" s="125" t="str">
        <f t="shared" si="1"/>
        <v/>
      </c>
      <c r="K16" s="754"/>
    </row>
    <row r="17" spans="1:11" ht="12.75" customHeight="1">
      <c r="A17" s="788"/>
      <c r="B17" s="170"/>
      <c r="C17" s="767"/>
      <c r="D17" s="764"/>
      <c r="E17" s="752"/>
      <c r="F17" s="752"/>
      <c r="G17" s="752"/>
      <c r="H17" s="752"/>
      <c r="I17" s="45">
        <f t="shared" si="2"/>
        <v>0</v>
      </c>
      <c r="J17" s="125" t="str">
        <f t="shared" si="1"/>
        <v/>
      </c>
      <c r="K17" s="754"/>
    </row>
    <row r="18" spans="1:11" ht="12.75" customHeight="1">
      <c r="A18" s="788"/>
      <c r="B18" s="170"/>
      <c r="C18" s="767"/>
      <c r="D18" s="764"/>
      <c r="E18" s="752"/>
      <c r="F18" s="752"/>
      <c r="G18" s="752"/>
      <c r="H18" s="752"/>
      <c r="I18" s="45">
        <f t="shared" si="2"/>
        <v>0</v>
      </c>
      <c r="J18" s="125" t="str">
        <f t="shared" si="1"/>
        <v/>
      </c>
      <c r="K18" s="754"/>
    </row>
    <row r="19" spans="1:11" ht="12.75" customHeight="1">
      <c r="A19" s="788" t="s">
        <v>674</v>
      </c>
      <c r="B19" s="170"/>
      <c r="C19" s="767"/>
      <c r="D19" s="764"/>
      <c r="E19" s="752"/>
      <c r="F19" s="752"/>
      <c r="G19" s="752"/>
      <c r="H19" s="752"/>
      <c r="I19" s="45">
        <f t="shared" si="2"/>
        <v>0</v>
      </c>
      <c r="J19" s="125" t="str">
        <f t="shared" si="1"/>
        <v/>
      </c>
      <c r="K19" s="754"/>
    </row>
    <row r="20" spans="1:11" ht="12.75" customHeight="1">
      <c r="A20" s="107" t="s">
        <v>776</v>
      </c>
      <c r="B20" s="170"/>
      <c r="C20" s="523">
        <f t="shared" ref="C20:I20" si="3">SUM(C21:C26)</f>
        <v>0</v>
      </c>
      <c r="D20" s="482">
        <f t="shared" si="3"/>
        <v>0</v>
      </c>
      <c r="E20" s="437">
        <f t="shared" si="3"/>
        <v>0</v>
      </c>
      <c r="F20" s="437">
        <f t="shared" si="3"/>
        <v>0</v>
      </c>
      <c r="G20" s="437">
        <f t="shared" si="3"/>
        <v>0</v>
      </c>
      <c r="H20" s="437">
        <f t="shared" si="3"/>
        <v>0</v>
      </c>
      <c r="I20" s="437">
        <f t="shared" si="3"/>
        <v>0</v>
      </c>
      <c r="J20" s="566" t="str">
        <f t="shared" si="1"/>
        <v/>
      </c>
      <c r="K20" s="520">
        <f>SUM(K21:K26)</f>
        <v>0</v>
      </c>
    </row>
    <row r="21" spans="1:11" ht="12.75" customHeight="1">
      <c r="A21" s="788"/>
      <c r="B21" s="170"/>
      <c r="C21" s="789"/>
      <c r="D21" s="790"/>
      <c r="E21" s="753"/>
      <c r="F21" s="753"/>
      <c r="G21" s="753"/>
      <c r="H21" s="753"/>
      <c r="I21" s="521">
        <f t="shared" ref="I21:I37" si="4">G21-H21</f>
        <v>0</v>
      </c>
      <c r="J21" s="565" t="str">
        <f t="shared" si="1"/>
        <v/>
      </c>
      <c r="K21" s="755"/>
    </row>
    <row r="22" spans="1:11" ht="12.75" customHeight="1">
      <c r="A22" s="788"/>
      <c r="B22" s="170"/>
      <c r="C22" s="767"/>
      <c r="D22" s="764"/>
      <c r="E22" s="752"/>
      <c r="F22" s="752"/>
      <c r="G22" s="752"/>
      <c r="H22" s="752"/>
      <c r="I22" s="45"/>
      <c r="J22" s="125"/>
      <c r="K22" s="754"/>
    </row>
    <row r="23" spans="1:11" ht="12.75" customHeight="1">
      <c r="A23" s="788"/>
      <c r="B23" s="170"/>
      <c r="C23" s="767"/>
      <c r="D23" s="764"/>
      <c r="E23" s="752"/>
      <c r="F23" s="752"/>
      <c r="G23" s="752"/>
      <c r="H23" s="752"/>
      <c r="I23" s="45">
        <f t="shared" si="4"/>
        <v>0</v>
      </c>
      <c r="J23" s="125" t="str">
        <f t="shared" si="1"/>
        <v/>
      </c>
      <c r="K23" s="754"/>
    </row>
    <row r="24" spans="1:11" ht="12.75" customHeight="1">
      <c r="A24" s="788"/>
      <c r="B24" s="170">
        <v>4</v>
      </c>
      <c r="C24" s="767"/>
      <c r="D24" s="764"/>
      <c r="E24" s="752"/>
      <c r="F24" s="752"/>
      <c r="G24" s="752"/>
      <c r="H24" s="752"/>
      <c r="I24" s="45">
        <f t="shared" si="4"/>
        <v>0</v>
      </c>
      <c r="J24" s="125" t="str">
        <f t="shared" si="1"/>
        <v/>
      </c>
      <c r="K24" s="754"/>
    </row>
    <row r="25" spans="1:11" ht="12.75" customHeight="1">
      <c r="A25" s="788"/>
      <c r="B25" s="170"/>
      <c r="C25" s="767"/>
      <c r="D25" s="764"/>
      <c r="E25" s="752"/>
      <c r="F25" s="752"/>
      <c r="G25" s="752"/>
      <c r="H25" s="752"/>
      <c r="I25" s="45">
        <f t="shared" si="4"/>
        <v>0</v>
      </c>
      <c r="J25" s="125" t="str">
        <f t="shared" si="1"/>
        <v/>
      </c>
      <c r="K25" s="754"/>
    </row>
    <row r="26" spans="1:11" ht="12.75" customHeight="1">
      <c r="A26" s="788" t="s">
        <v>674</v>
      </c>
      <c r="B26" s="170"/>
      <c r="C26" s="767"/>
      <c r="D26" s="764"/>
      <c r="E26" s="752"/>
      <c r="F26" s="752"/>
      <c r="G26" s="752"/>
      <c r="H26" s="752"/>
      <c r="I26" s="45">
        <f t="shared" si="4"/>
        <v>0</v>
      </c>
      <c r="J26" s="125" t="str">
        <f t="shared" si="1"/>
        <v/>
      </c>
      <c r="K26" s="754"/>
    </row>
    <row r="27" spans="1:11" ht="12.75" customHeight="1">
      <c r="A27" s="107" t="s">
        <v>647</v>
      </c>
      <c r="B27" s="170"/>
      <c r="C27" s="523">
        <f t="shared" ref="C27:H27" si="5">SUM(C28:C29)</f>
        <v>0</v>
      </c>
      <c r="D27" s="482">
        <f t="shared" si="5"/>
        <v>0</v>
      </c>
      <c r="E27" s="437">
        <f t="shared" si="5"/>
        <v>0</v>
      </c>
      <c r="F27" s="437">
        <f t="shared" si="5"/>
        <v>0</v>
      </c>
      <c r="G27" s="437">
        <f t="shared" si="5"/>
        <v>0</v>
      </c>
      <c r="H27" s="437">
        <f t="shared" si="5"/>
        <v>0</v>
      </c>
      <c r="I27" s="521">
        <f t="shared" si="4"/>
        <v>0</v>
      </c>
      <c r="J27" s="565" t="str">
        <f t="shared" si="1"/>
        <v/>
      </c>
      <c r="K27" s="520">
        <f>SUM(K28:K29)</f>
        <v>0</v>
      </c>
    </row>
    <row r="28" spans="1:11" ht="12.75" customHeight="1">
      <c r="A28" s="791" t="s">
        <v>711</v>
      </c>
      <c r="B28" s="170"/>
      <c r="C28" s="793"/>
      <c r="D28" s="794"/>
      <c r="E28" s="756"/>
      <c r="F28" s="756"/>
      <c r="G28" s="756"/>
      <c r="H28" s="756"/>
      <c r="I28" s="521">
        <f t="shared" si="4"/>
        <v>0</v>
      </c>
      <c r="J28" s="565" t="str">
        <f t="shared" si="1"/>
        <v/>
      </c>
      <c r="K28" s="757"/>
    </row>
    <row r="29" spans="1:11" ht="12.75" customHeight="1">
      <c r="A29" s="792"/>
      <c r="B29" s="170"/>
      <c r="C29" s="767"/>
      <c r="D29" s="764"/>
      <c r="E29" s="752"/>
      <c r="F29" s="752"/>
      <c r="G29" s="752"/>
      <c r="H29" s="752"/>
      <c r="I29" s="45">
        <f t="shared" si="4"/>
        <v>0</v>
      </c>
      <c r="J29" s="125" t="str">
        <f t="shared" si="1"/>
        <v/>
      </c>
      <c r="K29" s="754"/>
    </row>
    <row r="30" spans="1:11" ht="12.75" customHeight="1">
      <c r="A30" s="107" t="s">
        <v>994</v>
      </c>
      <c r="B30" s="170"/>
      <c r="C30" s="523">
        <f t="shared" ref="C30:H30" si="6">SUM(C31:C37)</f>
        <v>0</v>
      </c>
      <c r="D30" s="482">
        <f t="shared" si="6"/>
        <v>0</v>
      </c>
      <c r="E30" s="437">
        <f t="shared" si="6"/>
        <v>0</v>
      </c>
      <c r="F30" s="437">
        <f t="shared" si="6"/>
        <v>0</v>
      </c>
      <c r="G30" s="437">
        <f t="shared" si="6"/>
        <v>0</v>
      </c>
      <c r="H30" s="437">
        <f t="shared" si="6"/>
        <v>0</v>
      </c>
      <c r="I30" s="521">
        <f t="shared" si="4"/>
        <v>0</v>
      </c>
      <c r="J30" s="565" t="str">
        <f t="shared" si="1"/>
        <v/>
      </c>
      <c r="K30" s="520">
        <f>SUM(K31:K37)</f>
        <v>0</v>
      </c>
    </row>
    <row r="31" spans="1:11" ht="12.75" customHeight="1">
      <c r="A31" s="791" t="s">
        <v>711</v>
      </c>
      <c r="B31" s="170"/>
      <c r="C31" s="793"/>
      <c r="D31" s="794"/>
      <c r="E31" s="756"/>
      <c r="F31" s="756"/>
      <c r="G31" s="756"/>
      <c r="H31" s="756"/>
      <c r="I31" s="521">
        <f t="shared" si="4"/>
        <v>0</v>
      </c>
      <c r="J31" s="565" t="str">
        <f t="shared" si="1"/>
        <v/>
      </c>
      <c r="K31" s="757"/>
    </row>
    <row r="32" spans="1:11" ht="12.75" customHeight="1">
      <c r="A32" s="795"/>
      <c r="B32" s="170"/>
      <c r="C32" s="796"/>
      <c r="D32" s="797"/>
      <c r="E32" s="798"/>
      <c r="F32" s="798"/>
      <c r="G32" s="798"/>
      <c r="H32" s="798"/>
      <c r="I32" s="45"/>
      <c r="J32" s="125"/>
      <c r="K32" s="799"/>
    </row>
    <row r="33" spans="1:11" ht="12.75" customHeight="1">
      <c r="A33" s="795"/>
      <c r="B33" s="170"/>
      <c r="C33" s="796"/>
      <c r="D33" s="797"/>
      <c r="E33" s="798"/>
      <c r="F33" s="798"/>
      <c r="G33" s="798"/>
      <c r="H33" s="798"/>
      <c r="I33" s="45"/>
      <c r="J33" s="125"/>
      <c r="K33" s="799"/>
    </row>
    <row r="34" spans="1:11" ht="12.75" customHeight="1">
      <c r="A34" s="795"/>
      <c r="B34" s="170"/>
      <c r="C34" s="796"/>
      <c r="D34" s="797"/>
      <c r="E34" s="798"/>
      <c r="F34" s="798"/>
      <c r="G34" s="798"/>
      <c r="H34" s="798"/>
      <c r="I34" s="45"/>
      <c r="J34" s="125"/>
      <c r="K34" s="799"/>
    </row>
    <row r="35" spans="1:11" ht="12.75" customHeight="1">
      <c r="A35" s="795"/>
      <c r="B35" s="170"/>
      <c r="C35" s="796"/>
      <c r="D35" s="797"/>
      <c r="E35" s="798"/>
      <c r="F35" s="798"/>
      <c r="G35" s="798"/>
      <c r="H35" s="798"/>
      <c r="I35" s="45"/>
      <c r="J35" s="125"/>
      <c r="K35" s="799"/>
    </row>
    <row r="36" spans="1:11" ht="12.75" customHeight="1">
      <c r="A36" s="795"/>
      <c r="B36" s="170"/>
      <c r="C36" s="796"/>
      <c r="D36" s="797"/>
      <c r="E36" s="798"/>
      <c r="F36" s="798"/>
      <c r="G36" s="798"/>
      <c r="H36" s="798"/>
      <c r="I36" s="45"/>
      <c r="J36" s="125"/>
      <c r="K36" s="799"/>
    </row>
    <row r="37" spans="1:11" ht="12.75" customHeight="1">
      <c r="A37" s="792"/>
      <c r="B37" s="170"/>
      <c r="C37" s="767"/>
      <c r="D37" s="764"/>
      <c r="E37" s="752"/>
      <c r="F37" s="752"/>
      <c r="G37" s="752"/>
      <c r="H37" s="752"/>
      <c r="I37" s="45">
        <f t="shared" si="4"/>
        <v>0</v>
      </c>
      <c r="J37" s="125" t="str">
        <f t="shared" si="1"/>
        <v/>
      </c>
      <c r="K37" s="754"/>
    </row>
    <row r="38" spans="1:11" ht="12.75" customHeight="1">
      <c r="A38" s="571" t="s">
        <v>67</v>
      </c>
      <c r="B38" s="234">
        <v>5</v>
      </c>
      <c r="C38" s="244">
        <f t="shared" ref="C38:I38" si="7">C8+C20+C27+C30</f>
        <v>0</v>
      </c>
      <c r="D38" s="75">
        <f t="shared" si="7"/>
        <v>348037000</v>
      </c>
      <c r="E38" s="74">
        <f t="shared" si="7"/>
        <v>0</v>
      </c>
      <c r="F38" s="74">
        <f t="shared" si="7"/>
        <v>0</v>
      </c>
      <c r="G38" s="74">
        <f t="shared" si="7"/>
        <v>260933000</v>
      </c>
      <c r="H38" s="74">
        <f t="shared" si="7"/>
        <v>348037000</v>
      </c>
      <c r="I38" s="74">
        <f t="shared" si="7"/>
        <v>0</v>
      </c>
      <c r="J38" s="308" t="str">
        <f t="shared" si="1"/>
        <v/>
      </c>
      <c r="K38" s="146">
        <f>K8+K20+K27+K30</f>
        <v>348037000</v>
      </c>
    </row>
    <row r="39" spans="1:11" ht="5.0999999999999996" customHeight="1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>
      <c r="A40" s="557" t="s">
        <v>68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273523759</v>
      </c>
      <c r="E41" s="45">
        <f t="shared" si="8"/>
        <v>0</v>
      </c>
      <c r="F41" s="45">
        <f t="shared" si="8"/>
        <v>22275000</v>
      </c>
      <c r="G41" s="45">
        <f t="shared" si="8"/>
        <v>193770107.91</v>
      </c>
      <c r="H41" s="45">
        <f t="shared" si="8"/>
        <v>273523759</v>
      </c>
      <c r="I41" s="45">
        <f t="shared" si="8"/>
        <v>-79753651.090000004</v>
      </c>
      <c r="J41" s="347">
        <f t="shared" ref="J41:J71" si="9">IF(I41=0,"",I41/H41)</f>
        <v>-0.29157851362374704</v>
      </c>
      <c r="K41" s="145">
        <f t="shared" si="8"/>
        <v>273523759</v>
      </c>
    </row>
    <row r="42" spans="1:11" ht="12.75" customHeight="1">
      <c r="A42" s="788" t="s">
        <v>55</v>
      </c>
      <c r="B42" s="170"/>
      <c r="C42" s="789"/>
      <c r="D42" s="928">
        <v>207841759</v>
      </c>
      <c r="E42" s="753"/>
      <c r="F42" s="753"/>
      <c r="G42" s="753">
        <f>74904000+65590000</f>
        <v>140494000</v>
      </c>
      <c r="H42" s="753">
        <v>207841759</v>
      </c>
      <c r="I42" s="521">
        <f t="shared" ref="I42:I51" si="10">G42-H42</f>
        <v>-67347759</v>
      </c>
      <c r="J42" s="565">
        <f t="shared" si="9"/>
        <v>-0.32403381940199993</v>
      </c>
      <c r="K42" s="755">
        <v>207841759</v>
      </c>
    </row>
    <row r="43" spans="1:11" ht="12.75" customHeight="1">
      <c r="A43" s="788"/>
      <c r="B43" s="170"/>
      <c r="C43" s="767"/>
      <c r="D43" s="929"/>
      <c r="E43" s="391"/>
      <c r="F43" s="391"/>
      <c r="G43" s="391"/>
      <c r="H43" s="391"/>
      <c r="I43" s="45"/>
      <c r="J43" s="125"/>
      <c r="K43" s="929"/>
    </row>
    <row r="44" spans="1:11" ht="12.75" customHeight="1">
      <c r="A44" s="788"/>
      <c r="B44" s="170"/>
      <c r="C44" s="767"/>
      <c r="D44" s="764"/>
      <c r="E44" s="752"/>
      <c r="F44" s="752"/>
      <c r="G44" s="752"/>
      <c r="H44" s="752"/>
      <c r="I44" s="45"/>
      <c r="J44" s="125"/>
      <c r="K44" s="754"/>
    </row>
    <row r="45" spans="1:11" ht="12.75" customHeight="1">
      <c r="A45" s="788"/>
      <c r="B45" s="170"/>
      <c r="C45" s="767"/>
      <c r="D45" s="764"/>
      <c r="E45" s="752"/>
      <c r="F45" s="752"/>
      <c r="G45" s="752"/>
      <c r="H45" s="752"/>
      <c r="I45" s="45"/>
      <c r="J45" s="125"/>
      <c r="K45" s="754"/>
    </row>
    <row r="46" spans="1:11" ht="12.75" customHeight="1">
      <c r="A46" s="788"/>
      <c r="B46" s="170"/>
      <c r="C46" s="767"/>
      <c r="D46" s="764"/>
      <c r="E46" s="752"/>
      <c r="F46" s="752"/>
      <c r="G46" s="752"/>
      <c r="H46" s="752"/>
      <c r="I46" s="45"/>
      <c r="J46" s="125"/>
      <c r="K46" s="754"/>
    </row>
    <row r="47" spans="1:11" ht="12.75" customHeight="1">
      <c r="A47" s="788" t="s">
        <v>1195</v>
      </c>
      <c r="B47" s="170"/>
      <c r="C47" s="767"/>
      <c r="D47" s="929">
        <v>44620000</v>
      </c>
      <c r="E47" s="391"/>
      <c r="F47" s="391"/>
      <c r="G47" s="391">
        <f>10971108.06+4379498.31+16678690.22+1185811.32</f>
        <v>33215107.910000004</v>
      </c>
      <c r="H47" s="391">
        <v>44620000</v>
      </c>
      <c r="I47" s="45">
        <f t="shared" si="10"/>
        <v>-11404892.089999996</v>
      </c>
      <c r="J47" s="125">
        <f t="shared" si="9"/>
        <v>-0.25560045024652611</v>
      </c>
      <c r="K47" s="929">
        <v>44620000</v>
      </c>
    </row>
    <row r="48" spans="1:11" ht="12.75" customHeight="1">
      <c r="A48" s="788"/>
      <c r="B48" s="170"/>
      <c r="C48" s="767"/>
      <c r="D48" s="764"/>
      <c r="E48" s="752"/>
      <c r="F48" s="752"/>
      <c r="G48" s="752"/>
      <c r="H48" s="752"/>
      <c r="I48" s="45">
        <f t="shared" si="10"/>
        <v>0</v>
      </c>
      <c r="J48" s="125" t="str">
        <f t="shared" si="9"/>
        <v/>
      </c>
      <c r="K48" s="754"/>
    </row>
    <row r="49" spans="1:11" ht="12.75" customHeight="1">
      <c r="A49" s="788"/>
      <c r="B49" s="170"/>
      <c r="C49" s="767"/>
      <c r="D49" s="764"/>
      <c r="E49" s="752"/>
      <c r="F49" s="752"/>
      <c r="G49" s="752"/>
      <c r="H49" s="752"/>
      <c r="I49" s="45">
        <f t="shared" si="10"/>
        <v>0</v>
      </c>
      <c r="J49" s="125" t="str">
        <f t="shared" si="9"/>
        <v/>
      </c>
      <c r="K49" s="754"/>
    </row>
    <row r="50" spans="1:11" ht="12.75" customHeight="1">
      <c r="A50" s="788"/>
      <c r="B50" s="170"/>
      <c r="C50" s="767"/>
      <c r="D50" s="764"/>
      <c r="E50" s="752"/>
      <c r="F50" s="752"/>
      <c r="G50" s="752"/>
      <c r="H50" s="752"/>
      <c r="I50" s="45">
        <f t="shared" si="10"/>
        <v>0</v>
      </c>
      <c r="J50" s="125" t="str">
        <f t="shared" si="9"/>
        <v/>
      </c>
      <c r="K50" s="754"/>
    </row>
    <row r="51" spans="1:11" ht="12.75" customHeight="1">
      <c r="A51" s="931" t="s">
        <v>1406</v>
      </c>
      <c r="B51" s="170"/>
      <c r="C51" s="767"/>
      <c r="D51" s="930">
        <f>10000000+3000000+8062000</f>
        <v>21062000</v>
      </c>
      <c r="E51" s="391"/>
      <c r="F51" s="391">
        <v>22275000</v>
      </c>
      <c r="G51" s="391">
        <f>725000+8061000+3500000+1000000+3500000+1000000+2275000</f>
        <v>20061000</v>
      </c>
      <c r="H51" s="391">
        <v>21062000</v>
      </c>
      <c r="I51" s="45">
        <f t="shared" si="10"/>
        <v>-1001000</v>
      </c>
      <c r="J51" s="125">
        <f t="shared" si="9"/>
        <v>-4.7526350773905615E-2</v>
      </c>
      <c r="K51" s="754">
        <v>21062000</v>
      </c>
    </row>
    <row r="52" spans="1:11" ht="12.75" customHeight="1">
      <c r="A52" s="346" t="str">
        <f>A20</f>
        <v>Provincial Government:</v>
      </c>
      <c r="B52" s="170"/>
      <c r="C52" s="523">
        <f t="shared" ref="C52:H52" si="11">SUM(C53:C58)</f>
        <v>0</v>
      </c>
      <c r="D52" s="482">
        <f t="shared" si="11"/>
        <v>0</v>
      </c>
      <c r="E52" s="437">
        <f t="shared" si="11"/>
        <v>0</v>
      </c>
      <c r="F52" s="437">
        <f t="shared" si="11"/>
        <v>0</v>
      </c>
      <c r="G52" s="437">
        <f t="shared" si="11"/>
        <v>0</v>
      </c>
      <c r="H52" s="437">
        <f t="shared" si="11"/>
        <v>0</v>
      </c>
      <c r="I52" s="521">
        <f t="shared" ref="I52:I68" si="12">G52-H52</f>
        <v>0</v>
      </c>
      <c r="J52" s="565" t="str">
        <f>IF(I52=0,"",I52/H52)</f>
        <v/>
      </c>
      <c r="K52" s="520">
        <f>SUM(K53:K58)</f>
        <v>0</v>
      </c>
    </row>
    <row r="53" spans="1:11" ht="12.75" customHeight="1">
      <c r="A53" s="791" t="s">
        <v>711</v>
      </c>
      <c r="B53" s="170"/>
      <c r="C53" s="793"/>
      <c r="D53" s="794"/>
      <c r="E53" s="756"/>
      <c r="F53" s="756"/>
      <c r="G53" s="756"/>
      <c r="H53" s="756"/>
      <c r="I53" s="521">
        <f t="shared" si="12"/>
        <v>0</v>
      </c>
      <c r="J53" s="565" t="str">
        <f>IF(I53=0,"",I53/H53)</f>
        <v/>
      </c>
      <c r="K53" s="757"/>
    </row>
    <row r="54" spans="1:11" ht="12.75" customHeight="1">
      <c r="A54" s="795"/>
      <c r="B54" s="170"/>
      <c r="C54" s="796"/>
      <c r="D54" s="797"/>
      <c r="E54" s="798"/>
      <c r="F54" s="798"/>
      <c r="G54" s="798"/>
      <c r="H54" s="798"/>
      <c r="I54" s="45"/>
      <c r="J54" s="125"/>
      <c r="K54" s="799"/>
    </row>
    <row r="55" spans="1:11" ht="12.75" customHeight="1">
      <c r="A55" s="795"/>
      <c r="B55" s="170"/>
      <c r="C55" s="796"/>
      <c r="D55" s="797"/>
      <c r="E55" s="798"/>
      <c r="F55" s="798"/>
      <c r="G55" s="798"/>
      <c r="H55" s="798"/>
      <c r="I55" s="45"/>
      <c r="J55" s="125"/>
      <c r="K55" s="799"/>
    </row>
    <row r="56" spans="1:11" ht="12.75" customHeight="1">
      <c r="A56" s="795"/>
      <c r="B56" s="170"/>
      <c r="C56" s="796"/>
      <c r="D56" s="797"/>
      <c r="E56" s="798"/>
      <c r="F56" s="798"/>
      <c r="G56" s="798"/>
      <c r="H56" s="798"/>
      <c r="I56" s="45"/>
      <c r="J56" s="125"/>
      <c r="K56" s="799"/>
    </row>
    <row r="57" spans="1:11" ht="12.75" customHeight="1">
      <c r="A57" s="795"/>
      <c r="B57" s="170"/>
      <c r="C57" s="796"/>
      <c r="D57" s="797"/>
      <c r="E57" s="798"/>
      <c r="F57" s="798"/>
      <c r="G57" s="798"/>
      <c r="H57" s="798"/>
      <c r="I57" s="45"/>
      <c r="J57" s="125"/>
      <c r="K57" s="799"/>
    </row>
    <row r="58" spans="1:11" ht="12.75" customHeight="1">
      <c r="A58" s="792"/>
      <c r="B58" s="170"/>
      <c r="C58" s="767"/>
      <c r="D58" s="764"/>
      <c r="E58" s="752"/>
      <c r="F58" s="752"/>
      <c r="G58" s="752"/>
      <c r="H58" s="752"/>
      <c r="I58" s="45">
        <f t="shared" si="12"/>
        <v>0</v>
      </c>
      <c r="J58" s="125" t="str">
        <f t="shared" si="9"/>
        <v/>
      </c>
      <c r="K58" s="754"/>
    </row>
    <row r="59" spans="1:11" ht="12.75" customHeight="1">
      <c r="A59" s="107" t="str">
        <f>A27</f>
        <v>District Municipality:</v>
      </c>
      <c r="B59" s="170"/>
      <c r="C59" s="523">
        <f t="shared" ref="C59:H59" si="13">SUM(C60:C61)</f>
        <v>0</v>
      </c>
      <c r="D59" s="482">
        <f t="shared" si="13"/>
        <v>0</v>
      </c>
      <c r="E59" s="437">
        <f t="shared" si="13"/>
        <v>0</v>
      </c>
      <c r="F59" s="437">
        <f t="shared" si="13"/>
        <v>0</v>
      </c>
      <c r="G59" s="437">
        <f t="shared" si="13"/>
        <v>0</v>
      </c>
      <c r="H59" s="437">
        <f t="shared" si="13"/>
        <v>0</v>
      </c>
      <c r="I59" s="521">
        <f t="shared" si="12"/>
        <v>0</v>
      </c>
      <c r="J59" s="565" t="str">
        <f t="shared" si="9"/>
        <v/>
      </c>
      <c r="K59" s="520">
        <f>SUM(K60:K61)</f>
        <v>0</v>
      </c>
    </row>
    <row r="60" spans="1:11" ht="12.75" customHeight="1">
      <c r="A60" s="791" t="s">
        <v>711</v>
      </c>
      <c r="B60" s="170"/>
      <c r="C60" s="793"/>
      <c r="D60" s="794"/>
      <c r="E60" s="756"/>
      <c r="F60" s="756"/>
      <c r="G60" s="756"/>
      <c r="H60" s="756"/>
      <c r="I60" s="521">
        <f t="shared" si="12"/>
        <v>0</v>
      </c>
      <c r="J60" s="565" t="str">
        <f t="shared" si="9"/>
        <v/>
      </c>
      <c r="K60" s="757"/>
    </row>
    <row r="61" spans="1:11" ht="12.75" customHeight="1">
      <c r="A61" s="792"/>
      <c r="B61" s="170"/>
      <c r="C61" s="767"/>
      <c r="D61" s="764"/>
      <c r="E61" s="752"/>
      <c r="F61" s="752"/>
      <c r="G61" s="752"/>
      <c r="H61" s="752"/>
      <c r="I61" s="45">
        <f t="shared" si="12"/>
        <v>0</v>
      </c>
      <c r="J61" s="125" t="str">
        <f t="shared" si="9"/>
        <v/>
      </c>
      <c r="K61" s="754"/>
    </row>
    <row r="62" spans="1:11" ht="12.75" customHeight="1">
      <c r="A62" s="107" t="str">
        <f>A30</f>
        <v>Other grant providers:</v>
      </c>
      <c r="B62" s="170"/>
      <c r="C62" s="523">
        <f t="shared" ref="C62:H62" si="14">SUM(C63:C68)</f>
        <v>0</v>
      </c>
      <c r="D62" s="482">
        <f t="shared" si="14"/>
        <v>0</v>
      </c>
      <c r="E62" s="437">
        <f t="shared" si="14"/>
        <v>0</v>
      </c>
      <c r="F62" s="437">
        <f t="shared" si="14"/>
        <v>0</v>
      </c>
      <c r="G62" s="437">
        <f t="shared" si="14"/>
        <v>0</v>
      </c>
      <c r="H62" s="437">
        <f t="shared" si="14"/>
        <v>0</v>
      </c>
      <c r="I62" s="521">
        <f t="shared" si="12"/>
        <v>0</v>
      </c>
      <c r="J62" s="565" t="str">
        <f t="shared" si="9"/>
        <v/>
      </c>
      <c r="K62" s="520">
        <f>SUM(K63:K68)</f>
        <v>0</v>
      </c>
    </row>
    <row r="63" spans="1:11" ht="12.75" customHeight="1">
      <c r="A63" s="791" t="s">
        <v>711</v>
      </c>
      <c r="B63" s="170"/>
      <c r="C63" s="793"/>
      <c r="D63" s="794"/>
      <c r="E63" s="756"/>
      <c r="F63" s="756"/>
      <c r="G63" s="756"/>
      <c r="H63" s="756"/>
      <c r="I63" s="521">
        <f t="shared" si="12"/>
        <v>0</v>
      </c>
      <c r="J63" s="565" t="str">
        <f>IF(I63=0,"",I63/H63)</f>
        <v/>
      </c>
      <c r="K63" s="757"/>
    </row>
    <row r="64" spans="1:11" ht="12.75" customHeight="1">
      <c r="A64" s="795"/>
      <c r="B64" s="170"/>
      <c r="C64" s="796"/>
      <c r="D64" s="797"/>
      <c r="E64" s="798"/>
      <c r="F64" s="798"/>
      <c r="G64" s="798"/>
      <c r="H64" s="798"/>
      <c r="I64" s="45"/>
      <c r="J64" s="125"/>
      <c r="K64" s="799"/>
    </row>
    <row r="65" spans="1:11" ht="12.75" customHeight="1">
      <c r="A65" s="795"/>
      <c r="B65" s="170"/>
      <c r="C65" s="796"/>
      <c r="D65" s="797"/>
      <c r="E65" s="798"/>
      <c r="F65" s="798"/>
      <c r="G65" s="798"/>
      <c r="H65" s="798"/>
      <c r="I65" s="45"/>
      <c r="J65" s="125"/>
      <c r="K65" s="799"/>
    </row>
    <row r="66" spans="1:11" ht="12.75" customHeight="1">
      <c r="A66" s="795"/>
      <c r="B66" s="170"/>
      <c r="C66" s="796"/>
      <c r="D66" s="797"/>
      <c r="E66" s="798"/>
      <c r="F66" s="798"/>
      <c r="G66" s="798"/>
      <c r="H66" s="798"/>
      <c r="I66" s="45"/>
      <c r="J66" s="125"/>
      <c r="K66" s="799"/>
    </row>
    <row r="67" spans="1:11" ht="12.75" customHeight="1">
      <c r="A67" s="795"/>
      <c r="B67" s="170"/>
      <c r="C67" s="796"/>
      <c r="D67" s="797"/>
      <c r="E67" s="798"/>
      <c r="F67" s="798"/>
      <c r="G67" s="798"/>
      <c r="H67" s="798"/>
      <c r="I67" s="45"/>
      <c r="J67" s="125"/>
      <c r="K67" s="799"/>
    </row>
    <row r="68" spans="1:11" ht="12.75" customHeight="1">
      <c r="A68" s="792"/>
      <c r="B68" s="170"/>
      <c r="C68" s="767"/>
      <c r="D68" s="764"/>
      <c r="E68" s="752"/>
      <c r="F68" s="752"/>
      <c r="G68" s="752"/>
      <c r="H68" s="752"/>
      <c r="I68" s="45">
        <f t="shared" si="12"/>
        <v>0</v>
      </c>
      <c r="J68" s="125" t="str">
        <f t="shared" si="9"/>
        <v/>
      </c>
      <c r="K68" s="754"/>
    </row>
    <row r="69" spans="1:11" ht="12.75" customHeight="1">
      <c r="A69" s="570" t="s">
        <v>69</v>
      </c>
      <c r="B69" s="313">
        <v>5</v>
      </c>
      <c r="C69" s="523">
        <f>C41+C52+C59+C62</f>
        <v>0</v>
      </c>
      <c r="D69" s="482">
        <f t="shared" ref="D69:K69" si="15">D41+D52+D59+D62</f>
        <v>273523759</v>
      </c>
      <c r="E69" s="437">
        <f t="shared" si="15"/>
        <v>0</v>
      </c>
      <c r="F69" s="437">
        <f t="shared" si="15"/>
        <v>22275000</v>
      </c>
      <c r="G69" s="437">
        <f t="shared" si="15"/>
        <v>193770107.91</v>
      </c>
      <c r="H69" s="437">
        <f t="shared" si="15"/>
        <v>273523759</v>
      </c>
      <c r="I69" s="437">
        <f t="shared" si="15"/>
        <v>-79753651.090000004</v>
      </c>
      <c r="J69" s="566">
        <f t="shared" si="9"/>
        <v>-0.29157851362374704</v>
      </c>
      <c r="K69" s="520">
        <f t="shared" si="15"/>
        <v>273523759</v>
      </c>
    </row>
    <row r="70" spans="1:11" ht="5.0999999999999996" customHeight="1">
      <c r="A70" s="567"/>
      <c r="B70" s="249"/>
      <c r="C70" s="250"/>
      <c r="D70" s="568"/>
      <c r="E70" s="100"/>
      <c r="F70" s="100"/>
      <c r="G70" s="100"/>
      <c r="H70" s="100"/>
      <c r="I70" s="100"/>
      <c r="J70" s="328"/>
      <c r="K70" s="196"/>
    </row>
    <row r="71" spans="1:11" ht="12.75" customHeight="1">
      <c r="A71" s="569" t="s">
        <v>70</v>
      </c>
      <c r="B71" s="237">
        <v>5</v>
      </c>
      <c r="C71" s="161">
        <f t="shared" ref="C71:K71" si="16">C38+C69</f>
        <v>0</v>
      </c>
      <c r="D71" s="309">
        <f t="shared" si="16"/>
        <v>621560759</v>
      </c>
      <c r="E71" s="310">
        <f t="shared" si="16"/>
        <v>0</v>
      </c>
      <c r="F71" s="310">
        <f t="shared" si="16"/>
        <v>22275000</v>
      </c>
      <c r="G71" s="310">
        <f t="shared" si="16"/>
        <v>454703107.90999997</v>
      </c>
      <c r="H71" s="310">
        <f t="shared" si="16"/>
        <v>621560759</v>
      </c>
      <c r="I71" s="310">
        <f t="shared" si="16"/>
        <v>-79753651.090000004</v>
      </c>
      <c r="J71" s="311">
        <f t="shared" si="9"/>
        <v>-0.12831191470052247</v>
      </c>
      <c r="K71" s="312">
        <f t="shared" si="16"/>
        <v>621560759</v>
      </c>
    </row>
    <row r="72" spans="1:11" ht="12.75" customHeight="1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>
      <c r="A73" s="81" t="s">
        <v>1164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>
      <c r="A74" s="81" t="s">
        <v>1113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>
      <c r="A75" s="81" t="s">
        <v>993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>
      <c r="A76" s="61" t="s">
        <v>646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>
      <c r="A77" s="22" t="s">
        <v>754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>
      <c r="A78" s="184"/>
    </row>
    <row r="79" spans="1:11" ht="11.25" customHeight="1"/>
    <row r="80" spans="1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2" ySplit="4" topLeftCell="C23" activePane="bottomRight" state="frozen"/>
      <selection activeCell="B2" sqref="B2"/>
      <selection pane="topRight" activeCell="B2" sqref="B2"/>
      <selection pane="bottomLeft" activeCell="B2" sqref="B2"/>
      <selection pane="bottomRight" activeCell="G53" sqref="G53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"&amp;S71M&amp; " - "&amp;Head57</f>
        <v>FS194 Maluti-a-Phofung - Supporting Table SC7 Monthly Budget Statement - transfers and grant expenditure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137" t="s">
        <v>675</v>
      </c>
      <c r="B5" s="313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>
      <c r="A7" s="557" t="s">
        <v>62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348037000</v>
      </c>
      <c r="E8" s="51">
        <f t="shared" si="0"/>
        <v>0</v>
      </c>
      <c r="F8" s="51">
        <f t="shared" si="0"/>
        <v>687098.8</v>
      </c>
      <c r="G8" s="51">
        <f t="shared" si="0"/>
        <v>5798359.7700000005</v>
      </c>
      <c r="H8" s="51">
        <f t="shared" si="0"/>
        <v>348037000</v>
      </c>
      <c r="I8" s="51">
        <f t="shared" si="0"/>
        <v>-342238640.23000002</v>
      </c>
      <c r="J8" s="347">
        <f t="shared" ref="J8:J28" si="1">IF(I8=0,"",I8/H8)</f>
        <v>-0.98333981797912295</v>
      </c>
      <c r="K8" s="195">
        <f>SUM(K9:K15)</f>
        <v>348037000</v>
      </c>
    </row>
    <row r="9" spans="1:11">
      <c r="A9" s="403" t="str">
        <f>'SC6'!A9</f>
        <v xml:space="preserve">Finance Management </v>
      </c>
      <c r="B9" s="170"/>
      <c r="C9" s="789"/>
      <c r="D9" s="790">
        <v>1500000</v>
      </c>
      <c r="E9" s="753"/>
      <c r="F9" s="753">
        <v>48682.13</v>
      </c>
      <c r="G9" s="753">
        <f>65661.79+70243.64+69482.28+91187.68+88269.28+51416.28+48682.13</f>
        <v>484943.08000000007</v>
      </c>
      <c r="H9" s="790">
        <v>1500000</v>
      </c>
      <c r="I9" s="521">
        <f t="shared" ref="I9:I15" si="2">G9-H9</f>
        <v>-1015056.9199999999</v>
      </c>
      <c r="J9" s="565">
        <f t="shared" si="1"/>
        <v>-0.67670461333333332</v>
      </c>
      <c r="K9" s="790">
        <v>1500000</v>
      </c>
    </row>
    <row r="10" spans="1:11" ht="12.75" customHeight="1">
      <c r="A10" s="403" t="str">
        <f>'SC6'!A10</f>
        <v>Municipal Systems Improvement</v>
      </c>
      <c r="B10" s="170"/>
      <c r="C10" s="767"/>
      <c r="D10" s="390">
        <v>800000</v>
      </c>
      <c r="E10" s="391"/>
      <c r="F10" s="391">
        <v>0</v>
      </c>
      <c r="G10" s="391">
        <f>505500+169500+169500</f>
        <v>844500</v>
      </c>
      <c r="H10" s="390">
        <v>800000</v>
      </c>
      <c r="I10" s="45">
        <f t="shared" si="2"/>
        <v>44500</v>
      </c>
      <c r="J10" s="125">
        <f t="shared" si="1"/>
        <v>5.5625000000000001E-2</v>
      </c>
      <c r="K10" s="390">
        <v>800000</v>
      </c>
    </row>
    <row r="11" spans="1:11" ht="12.75" customHeight="1">
      <c r="A11" s="403" t="str">
        <f>'SC6'!A11</f>
        <v>Local Government Equitable Share</v>
      </c>
      <c r="B11" s="170"/>
      <c r="C11" s="767"/>
      <c r="D11" s="390">
        <v>338076000</v>
      </c>
      <c r="E11" s="391"/>
      <c r="F11" s="391"/>
      <c r="G11" s="391"/>
      <c r="H11" s="390">
        <v>338076000</v>
      </c>
      <c r="I11" s="45">
        <f t="shared" si="2"/>
        <v>-338076000</v>
      </c>
      <c r="J11" s="125">
        <f t="shared" si="1"/>
        <v>-1</v>
      </c>
      <c r="K11" s="390">
        <v>338076000</v>
      </c>
    </row>
    <row r="12" spans="1:11" ht="12.75" customHeight="1">
      <c r="A12" s="403" t="str">
        <f>'SC6'!A12</f>
        <v xml:space="preserve">Water Services Operating Subsidy </v>
      </c>
      <c r="B12" s="170"/>
      <c r="C12" s="767"/>
      <c r="D12" s="390">
        <v>7661000</v>
      </c>
      <c r="E12" s="391"/>
      <c r="F12" s="391">
        <v>638416.67000000004</v>
      </c>
      <c r="G12" s="391">
        <f>638416.67+638416.67+1276833.34+638416.67+638416.67+638416.67</f>
        <v>4468916.6900000004</v>
      </c>
      <c r="H12" s="390">
        <v>7661000</v>
      </c>
      <c r="I12" s="45">
        <f t="shared" si="2"/>
        <v>-3192083.3099999996</v>
      </c>
      <c r="J12" s="125">
        <f t="shared" si="1"/>
        <v>-0.41666666362093718</v>
      </c>
      <c r="K12" s="390">
        <v>7661000</v>
      </c>
    </row>
    <row r="13" spans="1:11" ht="12.75" customHeight="1">
      <c r="A13" s="403">
        <f>'SC6'!A13</f>
        <v>0</v>
      </c>
      <c r="B13" s="170"/>
      <c r="C13" s="767"/>
      <c r="D13" s="764"/>
      <c r="E13" s="752"/>
      <c r="F13" s="752"/>
      <c r="G13" s="752"/>
      <c r="H13" s="764"/>
      <c r="I13" s="45">
        <f t="shared" si="2"/>
        <v>0</v>
      </c>
      <c r="J13" s="125" t="str">
        <f t="shared" si="1"/>
        <v/>
      </c>
      <c r="K13" s="764"/>
    </row>
    <row r="14" spans="1:11" ht="12.75" customHeight="1">
      <c r="A14" s="403">
        <f>'SC6'!A14</f>
        <v>0</v>
      </c>
      <c r="B14" s="170"/>
      <c r="C14" s="767"/>
      <c r="D14" s="764"/>
      <c r="E14" s="752"/>
      <c r="F14" s="752"/>
      <c r="G14" s="752"/>
      <c r="H14" s="764"/>
      <c r="I14" s="45">
        <f t="shared" si="2"/>
        <v>0</v>
      </c>
      <c r="J14" s="125" t="str">
        <f t="shared" si="1"/>
        <v/>
      </c>
      <c r="K14" s="764"/>
    </row>
    <row r="15" spans="1:11" ht="12.75" customHeight="1">
      <c r="A15" s="403" t="str">
        <f>'SC6'!A19</f>
        <v>Other transfers and grants [insert description]</v>
      </c>
      <c r="B15" s="170"/>
      <c r="C15" s="767"/>
      <c r="D15" s="764"/>
      <c r="E15" s="752"/>
      <c r="F15" s="752"/>
      <c r="G15" s="752"/>
      <c r="H15" s="764"/>
      <c r="I15" s="45">
        <f t="shared" si="2"/>
        <v>0</v>
      </c>
      <c r="J15" s="125" t="str">
        <f t="shared" si="1"/>
        <v/>
      </c>
      <c r="K15" s="764"/>
    </row>
    <row r="16" spans="1:11" ht="12.75" customHeight="1">
      <c r="A16" s="404" t="str">
        <f>'SC6'!A20</f>
        <v>Provincial Government:</v>
      </c>
      <c r="B16" s="170"/>
      <c r="C16" s="523">
        <f t="shared" ref="C16:I16" si="3">SUM(C17:C21)</f>
        <v>0</v>
      </c>
      <c r="D16" s="482">
        <f t="shared" si="3"/>
        <v>0</v>
      </c>
      <c r="E16" s="437">
        <f t="shared" si="3"/>
        <v>0</v>
      </c>
      <c r="F16" s="437">
        <f t="shared" si="3"/>
        <v>0</v>
      </c>
      <c r="G16" s="437">
        <f t="shared" si="3"/>
        <v>0</v>
      </c>
      <c r="H16" s="437">
        <f t="shared" si="3"/>
        <v>0</v>
      </c>
      <c r="I16" s="437">
        <f t="shared" si="3"/>
        <v>0</v>
      </c>
      <c r="J16" s="566" t="str">
        <f t="shared" si="1"/>
        <v/>
      </c>
      <c r="K16" s="520">
        <f>SUM(K17:K21)</f>
        <v>0</v>
      </c>
    </row>
    <row r="17" spans="1:11" ht="12.75" customHeight="1">
      <c r="A17" s="403">
        <f>'SC6'!A21</f>
        <v>0</v>
      </c>
      <c r="B17" s="170"/>
      <c r="C17" s="789"/>
      <c r="D17" s="790"/>
      <c r="E17" s="753"/>
      <c r="F17" s="753"/>
      <c r="G17" s="753"/>
      <c r="H17" s="753"/>
      <c r="I17" s="521">
        <f t="shared" ref="I17:I27" si="4">G17-H17</f>
        <v>0</v>
      </c>
      <c r="J17" s="565" t="str">
        <f t="shared" si="1"/>
        <v/>
      </c>
      <c r="K17" s="755"/>
    </row>
    <row r="18" spans="1:11" ht="12.75" customHeight="1">
      <c r="A18" s="403">
        <f>'SC6'!A23</f>
        <v>0</v>
      </c>
      <c r="B18" s="170"/>
      <c r="C18" s="767"/>
      <c r="D18" s="764"/>
      <c r="E18" s="752"/>
      <c r="F18" s="752"/>
      <c r="G18" s="752"/>
      <c r="H18" s="752"/>
      <c r="I18" s="45">
        <f t="shared" si="4"/>
        <v>0</v>
      </c>
      <c r="J18" s="125" t="str">
        <f t="shared" si="1"/>
        <v/>
      </c>
      <c r="K18" s="754"/>
    </row>
    <row r="19" spans="1:11" ht="12.75" customHeight="1">
      <c r="A19" s="403">
        <f>'SC6'!A24</f>
        <v>0</v>
      </c>
      <c r="B19" s="170"/>
      <c r="C19" s="767"/>
      <c r="D19" s="764"/>
      <c r="E19" s="752"/>
      <c r="F19" s="752"/>
      <c r="G19" s="752"/>
      <c r="H19" s="752"/>
      <c r="I19" s="45">
        <f t="shared" si="4"/>
        <v>0</v>
      </c>
      <c r="J19" s="125" t="str">
        <f t="shared" si="1"/>
        <v/>
      </c>
      <c r="K19" s="754"/>
    </row>
    <row r="20" spans="1:11" ht="12.75" customHeight="1">
      <c r="A20" s="403">
        <f>'SC6'!A25</f>
        <v>0</v>
      </c>
      <c r="B20" s="170"/>
      <c r="C20" s="767"/>
      <c r="D20" s="764"/>
      <c r="E20" s="752"/>
      <c r="F20" s="752"/>
      <c r="G20" s="752"/>
      <c r="H20" s="752"/>
      <c r="I20" s="45">
        <f t="shared" si="4"/>
        <v>0</v>
      </c>
      <c r="J20" s="125" t="str">
        <f t="shared" si="1"/>
        <v/>
      </c>
      <c r="K20" s="754"/>
    </row>
    <row r="21" spans="1:11" ht="12.75" customHeight="1">
      <c r="A21" s="403" t="str">
        <f>'SC6'!A26</f>
        <v>Other transfers and grants [insert description]</v>
      </c>
      <c r="B21" s="170"/>
      <c r="C21" s="767"/>
      <c r="D21" s="764"/>
      <c r="E21" s="752"/>
      <c r="F21" s="752"/>
      <c r="G21" s="752"/>
      <c r="H21" s="752"/>
      <c r="I21" s="45">
        <f t="shared" si="4"/>
        <v>0</v>
      </c>
      <c r="J21" s="125" t="str">
        <f t="shared" si="1"/>
        <v/>
      </c>
      <c r="K21" s="754"/>
    </row>
    <row r="22" spans="1:11" ht="12.75" customHeight="1">
      <c r="A22" s="404" t="str">
        <f>'SC6'!A27</f>
        <v>District Municipality:</v>
      </c>
      <c r="B22" s="170"/>
      <c r="C22" s="523">
        <f t="shared" ref="C22:H22" si="5">SUM(C23:C24)</f>
        <v>0</v>
      </c>
      <c r="D22" s="482">
        <f t="shared" si="5"/>
        <v>0</v>
      </c>
      <c r="E22" s="437">
        <f t="shared" si="5"/>
        <v>0</v>
      </c>
      <c r="F22" s="437">
        <f t="shared" si="5"/>
        <v>0</v>
      </c>
      <c r="G22" s="437">
        <f t="shared" si="5"/>
        <v>0</v>
      </c>
      <c r="H22" s="437">
        <f t="shared" si="5"/>
        <v>0</v>
      </c>
      <c r="I22" s="521">
        <f t="shared" si="4"/>
        <v>0</v>
      </c>
      <c r="J22" s="565" t="str">
        <f t="shared" si="1"/>
        <v/>
      </c>
      <c r="K22" s="520">
        <f>SUM(K23:K24)</f>
        <v>0</v>
      </c>
    </row>
    <row r="23" spans="1:11" ht="12.75" customHeight="1">
      <c r="A23" s="404"/>
      <c r="B23" s="170"/>
      <c r="C23" s="793"/>
      <c r="D23" s="794"/>
      <c r="E23" s="756"/>
      <c r="F23" s="756"/>
      <c r="G23" s="756"/>
      <c r="H23" s="756"/>
      <c r="I23" s="521">
        <f t="shared" si="4"/>
        <v>0</v>
      </c>
      <c r="J23" s="565" t="str">
        <f t="shared" si="1"/>
        <v/>
      </c>
      <c r="K23" s="757"/>
    </row>
    <row r="24" spans="1:11" ht="12.75" customHeight="1">
      <c r="A24" s="405" t="str">
        <f>'SC6'!A28</f>
        <v>[insert description]</v>
      </c>
      <c r="B24" s="170"/>
      <c r="C24" s="767"/>
      <c r="D24" s="764"/>
      <c r="E24" s="752"/>
      <c r="F24" s="752"/>
      <c r="G24" s="752"/>
      <c r="H24" s="752"/>
      <c r="I24" s="45">
        <f t="shared" si="4"/>
        <v>0</v>
      </c>
      <c r="J24" s="125" t="str">
        <f t="shared" si="1"/>
        <v/>
      </c>
      <c r="K24" s="754"/>
    </row>
    <row r="25" spans="1:11" ht="12.75" customHeight="1">
      <c r="A25" s="404" t="str">
        <f>'SC6'!A30</f>
        <v>Other grant providers:</v>
      </c>
      <c r="B25" s="170"/>
      <c r="C25" s="523">
        <f t="shared" ref="C25:H25" si="6">SUM(C26:C27)</f>
        <v>0</v>
      </c>
      <c r="D25" s="482">
        <f t="shared" si="6"/>
        <v>0</v>
      </c>
      <c r="E25" s="437">
        <f t="shared" si="6"/>
        <v>0</v>
      </c>
      <c r="F25" s="437">
        <f t="shared" si="6"/>
        <v>0</v>
      </c>
      <c r="G25" s="437">
        <f t="shared" si="6"/>
        <v>0</v>
      </c>
      <c r="H25" s="437">
        <f t="shared" si="6"/>
        <v>0</v>
      </c>
      <c r="I25" s="521">
        <f t="shared" si="4"/>
        <v>0</v>
      </c>
      <c r="J25" s="565" t="str">
        <f t="shared" si="1"/>
        <v/>
      </c>
      <c r="K25" s="520">
        <f>SUM(K26:K27)</f>
        <v>0</v>
      </c>
    </row>
    <row r="26" spans="1:11" ht="12.75" customHeight="1">
      <c r="A26" s="404"/>
      <c r="B26" s="170"/>
      <c r="C26" s="793"/>
      <c r="D26" s="794"/>
      <c r="E26" s="756"/>
      <c r="F26" s="756"/>
      <c r="G26" s="756"/>
      <c r="H26" s="756"/>
      <c r="I26" s="521">
        <f t="shared" si="4"/>
        <v>0</v>
      </c>
      <c r="J26" s="565" t="str">
        <f t="shared" si="1"/>
        <v/>
      </c>
      <c r="K26" s="757"/>
    </row>
    <row r="27" spans="1:11" ht="12.75" customHeight="1">
      <c r="A27" s="405" t="str">
        <f>'SC6'!A31</f>
        <v>[insert description]</v>
      </c>
      <c r="B27" s="170"/>
      <c r="C27" s="767"/>
      <c r="D27" s="764"/>
      <c r="E27" s="752"/>
      <c r="F27" s="752"/>
      <c r="G27" s="752"/>
      <c r="H27" s="752"/>
      <c r="I27" s="45">
        <f t="shared" si="4"/>
        <v>0</v>
      </c>
      <c r="J27" s="125" t="str">
        <f t="shared" si="1"/>
        <v/>
      </c>
      <c r="K27" s="754"/>
    </row>
    <row r="28" spans="1:11" ht="12.75" customHeight="1">
      <c r="A28" s="571" t="s">
        <v>63</v>
      </c>
      <c r="B28" s="234"/>
      <c r="C28" s="244">
        <f>C8+C16+C22+C25</f>
        <v>0</v>
      </c>
      <c r="D28" s="75">
        <f t="shared" ref="D28:I28" si="7">D8+D16+D22+D25</f>
        <v>348037000</v>
      </c>
      <c r="E28" s="74">
        <f t="shared" si="7"/>
        <v>0</v>
      </c>
      <c r="F28" s="74">
        <f t="shared" si="7"/>
        <v>687098.8</v>
      </c>
      <c r="G28" s="74">
        <f t="shared" si="7"/>
        <v>5798359.7700000005</v>
      </c>
      <c r="H28" s="74">
        <f t="shared" si="7"/>
        <v>348037000</v>
      </c>
      <c r="I28" s="74">
        <f t="shared" si="7"/>
        <v>-342238640.23000002</v>
      </c>
      <c r="J28" s="308">
        <f t="shared" si="1"/>
        <v>-0.98333981797912295</v>
      </c>
      <c r="K28" s="146">
        <f>K8+K16+K22+K25</f>
        <v>348037000</v>
      </c>
    </row>
    <row r="29" spans="1:11" ht="5.0999999999999996" customHeight="1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>
      <c r="A30" s="557" t="s">
        <v>64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>
      <c r="A31" s="346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273523759</v>
      </c>
      <c r="E31" s="45">
        <f t="shared" si="8"/>
        <v>0</v>
      </c>
      <c r="F31" s="45">
        <f t="shared" si="8"/>
        <v>9754095.3800000008</v>
      </c>
      <c r="G31" s="45">
        <f t="shared" si="8"/>
        <v>111813827.54999998</v>
      </c>
      <c r="H31" s="45">
        <f t="shared" si="8"/>
        <v>273523759</v>
      </c>
      <c r="I31" s="45">
        <f t="shared" si="8"/>
        <v>-161709931.45000002</v>
      </c>
      <c r="J31" s="347">
        <f t="shared" ref="J31:J46" si="9">IF(I31=0,"",I31/H31)</f>
        <v>-0.59120981680425067</v>
      </c>
      <c r="K31" s="145">
        <f t="shared" si="8"/>
        <v>273523759</v>
      </c>
    </row>
    <row r="32" spans="1:11" ht="12.75" customHeight="1">
      <c r="A32" s="403" t="str">
        <f>'SC6'!A42</f>
        <v>Municipal Infrastructure Grant (MIG)</v>
      </c>
      <c r="B32" s="170"/>
      <c r="C32" s="789"/>
      <c r="D32" s="790">
        <v>207841759</v>
      </c>
      <c r="E32" s="753"/>
      <c r="F32" s="753">
        <v>5471177.6100000003</v>
      </c>
      <c r="G32" s="753">
        <f>7909130.64+12362368.02+6549030.48+10434567.07+18364293.56+5471177.61</f>
        <v>61090567.379999995</v>
      </c>
      <c r="H32" s="790">
        <v>207841759</v>
      </c>
      <c r="I32" s="521">
        <f t="shared" ref="I32:I37" si="10">G32-H32</f>
        <v>-146751191.62</v>
      </c>
      <c r="J32" s="565">
        <f t="shared" si="9"/>
        <v>-0.70607173614230245</v>
      </c>
      <c r="K32" s="790">
        <v>207841759</v>
      </c>
    </row>
    <row r="33" spans="1:11" ht="12.75" customHeight="1">
      <c r="A33" s="403" t="str">
        <f>'SC6'!A47</f>
        <v>Regional Bulk Infrastructure</v>
      </c>
      <c r="B33" s="170"/>
      <c r="C33" s="767"/>
      <c r="D33" s="390">
        <v>44620000</v>
      </c>
      <c r="E33" s="391"/>
      <c r="F33" s="391">
        <v>2114950.6</v>
      </c>
      <c r="G33" s="391">
        <f>21408882.09+7600393.08+6665945.83+2114950.6</f>
        <v>37790171.600000001</v>
      </c>
      <c r="H33" s="390">
        <v>44620000</v>
      </c>
      <c r="I33" s="45">
        <f t="shared" si="10"/>
        <v>-6829828.3999999985</v>
      </c>
      <c r="J33" s="125">
        <f t="shared" si="9"/>
        <v>-0.15306652622142533</v>
      </c>
      <c r="K33" s="390">
        <v>44620000</v>
      </c>
    </row>
    <row r="34" spans="1:11" ht="12.75" customHeight="1">
      <c r="A34" s="403">
        <f>'SC6'!A48</f>
        <v>0</v>
      </c>
      <c r="B34" s="170"/>
      <c r="C34" s="767"/>
      <c r="D34" s="764"/>
      <c r="E34" s="752"/>
      <c r="F34" s="752"/>
      <c r="G34" s="752"/>
      <c r="H34" s="752"/>
      <c r="I34" s="45">
        <f t="shared" si="10"/>
        <v>0</v>
      </c>
      <c r="J34" s="125" t="str">
        <f t="shared" si="9"/>
        <v/>
      </c>
      <c r="K34" s="764"/>
    </row>
    <row r="35" spans="1:11" ht="12.75" customHeight="1">
      <c r="A35" s="403">
        <f>'SC6'!A49</f>
        <v>0</v>
      </c>
      <c r="B35" s="170"/>
      <c r="C35" s="767"/>
      <c r="D35" s="764"/>
      <c r="E35" s="752"/>
      <c r="F35" s="752"/>
      <c r="G35" s="752"/>
      <c r="H35" s="752"/>
      <c r="I35" s="45">
        <f t="shared" si="10"/>
        <v>0</v>
      </c>
      <c r="J35" s="125" t="str">
        <f t="shared" si="9"/>
        <v/>
      </c>
      <c r="K35" s="764"/>
    </row>
    <row r="36" spans="1:11" ht="12.75" customHeight="1">
      <c r="A36" s="403">
        <f>'SC6'!A50</f>
        <v>0</v>
      </c>
      <c r="B36" s="170"/>
      <c r="C36" s="767"/>
      <c r="D36" s="764"/>
      <c r="E36" s="752"/>
      <c r="F36" s="752"/>
      <c r="G36" s="752"/>
      <c r="H36" s="752"/>
      <c r="I36" s="45">
        <f t="shared" si="10"/>
        <v>0</v>
      </c>
      <c r="J36" s="125" t="str">
        <f t="shared" si="9"/>
        <v/>
      </c>
      <c r="K36" s="764"/>
    </row>
    <row r="37" spans="1:11" ht="12.75" customHeight="1">
      <c r="A37" s="403" t="str">
        <f>'SC6'!A51</f>
        <v>Others (DWA,DoE,EPWPIG)</v>
      </c>
      <c r="B37" s="170"/>
      <c r="C37" s="767"/>
      <c r="D37" s="390">
        <f>10000000+8062000+3000000</f>
        <v>21062000</v>
      </c>
      <c r="E37" s="391"/>
      <c r="F37" s="391">
        <f>2166667.17+1300</f>
        <v>2167967.17</v>
      </c>
      <c r="G37" s="391">
        <f>5927360+3070175.44+13200+1754385.96+2166667.17+1300</f>
        <v>12933088.569999998</v>
      </c>
      <c r="H37" s="390">
        <f>10000000+8062000+3000000</f>
        <v>21062000</v>
      </c>
      <c r="I37" s="45">
        <f t="shared" si="10"/>
        <v>-8128911.4300000016</v>
      </c>
      <c r="J37" s="125">
        <f t="shared" si="9"/>
        <v>-0.38595154448770302</v>
      </c>
      <c r="K37" s="390">
        <f>10000000+8062000+3000000</f>
        <v>21062000</v>
      </c>
    </row>
    <row r="38" spans="1:11" ht="12.75" customHeight="1">
      <c r="A38" s="404" t="str">
        <f>'SC6'!A52</f>
        <v>Provincial Government:</v>
      </c>
      <c r="B38" s="170"/>
      <c r="C38" s="523">
        <f t="shared" ref="C38:H38" si="11">SUM(C39:C40)</f>
        <v>0</v>
      </c>
      <c r="D38" s="482">
        <f t="shared" si="11"/>
        <v>0</v>
      </c>
      <c r="E38" s="437">
        <f t="shared" si="11"/>
        <v>0</v>
      </c>
      <c r="F38" s="437">
        <f t="shared" si="11"/>
        <v>0</v>
      </c>
      <c r="G38" s="437">
        <f t="shared" si="11"/>
        <v>0</v>
      </c>
      <c r="H38" s="437">
        <f t="shared" si="11"/>
        <v>0</v>
      </c>
      <c r="I38" s="521">
        <f t="shared" ref="I38:I46" si="12">G38-H38</f>
        <v>0</v>
      </c>
      <c r="J38" s="565" t="str">
        <f t="shared" si="9"/>
        <v/>
      </c>
      <c r="K38" s="520">
        <f>SUM(K39:K40)</f>
        <v>0</v>
      </c>
    </row>
    <row r="39" spans="1:11" ht="12.75" customHeight="1">
      <c r="A39" s="404"/>
      <c r="B39" s="170"/>
      <c r="C39" s="793"/>
      <c r="D39" s="794"/>
      <c r="E39" s="756"/>
      <c r="F39" s="756"/>
      <c r="G39" s="756"/>
      <c r="H39" s="756"/>
      <c r="I39" s="521">
        <f t="shared" si="12"/>
        <v>0</v>
      </c>
      <c r="J39" s="565" t="str">
        <f t="shared" si="9"/>
        <v/>
      </c>
      <c r="K39" s="757"/>
    </row>
    <row r="40" spans="1:11" ht="12.75" customHeight="1">
      <c r="A40" s="403">
        <f>'SC6'!A58</f>
        <v>0</v>
      </c>
      <c r="B40" s="170"/>
      <c r="C40" s="767"/>
      <c r="D40" s="764"/>
      <c r="E40" s="752"/>
      <c r="F40" s="752"/>
      <c r="G40" s="752"/>
      <c r="H40" s="752"/>
      <c r="I40" s="45">
        <f t="shared" si="12"/>
        <v>0</v>
      </c>
      <c r="J40" s="125" t="str">
        <f t="shared" si="9"/>
        <v/>
      </c>
      <c r="K40" s="754"/>
    </row>
    <row r="41" spans="1:11" ht="12.75" customHeight="1">
      <c r="A41" s="404" t="str">
        <f>'SC6'!A59</f>
        <v>District Municipality:</v>
      </c>
      <c r="B41" s="170"/>
      <c r="C41" s="523">
        <f t="shared" ref="C41:H41" si="13">SUM(C42:C43)</f>
        <v>0</v>
      </c>
      <c r="D41" s="482">
        <f t="shared" si="13"/>
        <v>0</v>
      </c>
      <c r="E41" s="437">
        <f t="shared" si="13"/>
        <v>0</v>
      </c>
      <c r="F41" s="437">
        <f t="shared" si="13"/>
        <v>0</v>
      </c>
      <c r="G41" s="437">
        <f t="shared" si="13"/>
        <v>0</v>
      </c>
      <c r="H41" s="437">
        <f t="shared" si="13"/>
        <v>0</v>
      </c>
      <c r="I41" s="521">
        <f t="shared" si="12"/>
        <v>0</v>
      </c>
      <c r="J41" s="565" t="str">
        <f t="shared" si="9"/>
        <v/>
      </c>
      <c r="K41" s="520">
        <f>SUM(K42:K43)</f>
        <v>0</v>
      </c>
    </row>
    <row r="42" spans="1:11" ht="12.75" customHeight="1">
      <c r="A42" s="404"/>
      <c r="B42" s="170"/>
      <c r="C42" s="793"/>
      <c r="D42" s="794"/>
      <c r="E42" s="756"/>
      <c r="F42" s="756"/>
      <c r="G42" s="756"/>
      <c r="H42" s="756"/>
      <c r="I42" s="521">
        <f t="shared" si="12"/>
        <v>0</v>
      </c>
      <c r="J42" s="565" t="str">
        <f t="shared" si="9"/>
        <v/>
      </c>
      <c r="K42" s="757"/>
    </row>
    <row r="43" spans="1:11" ht="12.75" customHeight="1">
      <c r="A43" s="405">
        <f>'SC6'!A61</f>
        <v>0</v>
      </c>
      <c r="B43" s="170"/>
      <c r="C43" s="767"/>
      <c r="D43" s="764"/>
      <c r="E43" s="752"/>
      <c r="F43" s="752"/>
      <c r="G43" s="752"/>
      <c r="H43" s="752"/>
      <c r="I43" s="45">
        <f t="shared" si="12"/>
        <v>0</v>
      </c>
      <c r="J43" s="125" t="str">
        <f t="shared" si="9"/>
        <v/>
      </c>
      <c r="K43" s="754"/>
    </row>
    <row r="44" spans="1:11" ht="12.75" customHeight="1">
      <c r="A44" s="404" t="str">
        <f>'SC6'!A62</f>
        <v>Other grant providers:</v>
      </c>
      <c r="B44" s="170"/>
      <c r="C44" s="523">
        <f t="shared" ref="C44:H44" si="14">SUM(C45:C46)</f>
        <v>0</v>
      </c>
      <c r="D44" s="482">
        <f t="shared" si="14"/>
        <v>0</v>
      </c>
      <c r="E44" s="437">
        <f t="shared" si="14"/>
        <v>0</v>
      </c>
      <c r="F44" s="437">
        <f t="shared" si="14"/>
        <v>0</v>
      </c>
      <c r="G44" s="437">
        <f t="shared" si="14"/>
        <v>0</v>
      </c>
      <c r="H44" s="437">
        <f t="shared" si="14"/>
        <v>0</v>
      </c>
      <c r="I44" s="521">
        <f t="shared" si="12"/>
        <v>0</v>
      </c>
      <c r="J44" s="565" t="str">
        <f t="shared" si="9"/>
        <v/>
      </c>
      <c r="K44" s="520">
        <f>SUM(K45:K46)</f>
        <v>0</v>
      </c>
    </row>
    <row r="45" spans="1:11" ht="12.75" customHeight="1">
      <c r="A45" s="404"/>
      <c r="B45" s="170"/>
      <c r="C45" s="793"/>
      <c r="D45" s="794"/>
      <c r="E45" s="756"/>
      <c r="F45" s="756"/>
      <c r="G45" s="756"/>
      <c r="H45" s="756"/>
      <c r="I45" s="521">
        <f t="shared" si="12"/>
        <v>0</v>
      </c>
      <c r="J45" s="565" t="str">
        <f t="shared" si="9"/>
        <v/>
      </c>
      <c r="K45" s="757"/>
    </row>
    <row r="46" spans="1:11" ht="12.75" customHeight="1">
      <c r="A46" s="405">
        <f>'SC6'!A68</f>
        <v>0</v>
      </c>
      <c r="B46" s="170"/>
      <c r="C46" s="767"/>
      <c r="D46" s="764"/>
      <c r="E46" s="752"/>
      <c r="F46" s="752"/>
      <c r="G46" s="752"/>
      <c r="H46" s="752"/>
      <c r="I46" s="45">
        <f t="shared" si="12"/>
        <v>0</v>
      </c>
      <c r="J46" s="125" t="str">
        <f t="shared" si="9"/>
        <v/>
      </c>
      <c r="K46" s="754"/>
    </row>
    <row r="47" spans="1:11" ht="12.75" customHeight="1">
      <c r="A47" s="570" t="s">
        <v>65</v>
      </c>
      <c r="B47" s="234"/>
      <c r="C47" s="244">
        <f>C31+C38+C41+C44</f>
        <v>0</v>
      </c>
      <c r="D47" s="75">
        <f t="shared" ref="D47:K47" si="15">D31+D38+D41+D44</f>
        <v>273523759</v>
      </c>
      <c r="E47" s="74">
        <f t="shared" si="15"/>
        <v>0</v>
      </c>
      <c r="F47" s="74">
        <f t="shared" si="15"/>
        <v>9754095.3800000008</v>
      </c>
      <c r="G47" s="74">
        <f t="shared" si="15"/>
        <v>111813827.54999998</v>
      </c>
      <c r="H47" s="74">
        <f t="shared" si="15"/>
        <v>273523759</v>
      </c>
      <c r="I47" s="74">
        <f t="shared" si="15"/>
        <v>-161709931.45000002</v>
      </c>
      <c r="J47" s="308">
        <f>IF(I47=0,"",I47/H47)</f>
        <v>-0.59120981680425067</v>
      </c>
      <c r="K47" s="146">
        <f t="shared" si="15"/>
        <v>273523759</v>
      </c>
    </row>
    <row r="48" spans="1:11" ht="5.0999999999999996" customHeight="1">
      <c r="A48" s="556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>
      <c r="A49" s="701" t="s">
        <v>148</v>
      </c>
      <c r="B49" s="286"/>
      <c r="C49" s="113">
        <f t="shared" ref="C49:K49" si="16">C28+C47</f>
        <v>0</v>
      </c>
      <c r="D49" s="57">
        <f t="shared" si="16"/>
        <v>621560759</v>
      </c>
      <c r="E49" s="56">
        <f t="shared" si="16"/>
        <v>0</v>
      </c>
      <c r="F49" s="56">
        <f t="shared" si="16"/>
        <v>10441194.180000002</v>
      </c>
      <c r="G49" s="56">
        <f t="shared" si="16"/>
        <v>117612187.31999998</v>
      </c>
      <c r="H49" s="56">
        <f t="shared" si="16"/>
        <v>621560759</v>
      </c>
      <c r="I49" s="56">
        <f t="shared" si="16"/>
        <v>-503948571.68000007</v>
      </c>
      <c r="J49" s="294">
        <f>IF(I49=0,"",I49/H49)</f>
        <v>-0.81077925911986359</v>
      </c>
      <c r="K49" s="236">
        <f t="shared" si="16"/>
        <v>621560759</v>
      </c>
    </row>
    <row r="50" spans="1:11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/>
    <row r="53" spans="1:11" ht="11.25" customHeight="1"/>
    <row r="54" spans="1:11" ht="11.25" customHeight="1"/>
    <row r="55" spans="1:11" ht="11.25" customHeight="1"/>
    <row r="56" spans="1:11" ht="11.25" customHeight="1"/>
    <row r="57" spans="1:11" ht="11.25" customHeight="1"/>
    <row r="58" spans="1:11" ht="11.25" customHeight="1"/>
    <row r="59" spans="1:11" ht="11.25" customHeight="1"/>
    <row r="60" spans="1:11" ht="11.25" customHeight="1"/>
    <row r="61" spans="1:11" ht="11.25" customHeight="1"/>
    <row r="62" spans="1:11" ht="11.25" customHeight="1"/>
    <row r="63" spans="1:11" ht="11.25" customHeight="1"/>
    <row r="64" spans="1:1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</sheetPr>
  <dimension ref="A1:N195"/>
  <sheetViews>
    <sheetView showGridLines="0" view="pageBreakPreview" zoomScaleNormal="100" zoomScaleSheetLayoutView="100" workbookViewId="0">
      <pane xSplit="2" ySplit="4" topLeftCell="C74" activePane="bottomRight" state="frozen"/>
      <selection activeCell="B2" sqref="B2"/>
      <selection pane="topRight" activeCell="B2" sqref="B2"/>
      <selection pane="bottomLeft" activeCell="B2" sqref="B2"/>
      <selection pane="bottomRight" activeCell="G93" sqref="G93"/>
    </sheetView>
  </sheetViews>
  <sheetFormatPr defaultRowHeight="12.7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"&amp;S71N&amp; " - "&amp;Head57</f>
        <v>FS194 Maluti-a-Phofung - Supporting Table SC8 Monthly Budget Statement - counillor and staff benefits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">
        <v>804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/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572"/>
      <c r="B5" s="237">
        <v>1</v>
      </c>
      <c r="C5" s="573" t="s">
        <v>728</v>
      </c>
      <c r="D5" s="574" t="s">
        <v>676</v>
      </c>
      <c r="E5" s="575" t="s">
        <v>589</v>
      </c>
      <c r="F5" s="576"/>
      <c r="G5" s="576"/>
      <c r="H5" s="576"/>
      <c r="I5" s="576"/>
      <c r="J5" s="576"/>
      <c r="K5" s="577" t="s">
        <v>758</v>
      </c>
    </row>
    <row r="6" spans="1:11" ht="12.75" customHeight="1">
      <c r="A6" s="579" t="s">
        <v>534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525" t="s">
        <v>607</v>
      </c>
      <c r="B7" s="170"/>
      <c r="C7" s="767"/>
      <c r="D7" s="390">
        <f>6177925</f>
        <v>6177925</v>
      </c>
      <c r="E7" s="391"/>
      <c r="F7" s="391">
        <v>701910.09</v>
      </c>
      <c r="G7" s="391">
        <f>664448.72+664448.72+664448.72+664448.72+632307.8+702223.14+701910.09</f>
        <v>4694235.91</v>
      </c>
      <c r="H7" s="390">
        <v>6177925</v>
      </c>
      <c r="I7" s="45">
        <f t="shared" ref="I7:I14" si="0">G7-H7</f>
        <v>-1483689.0899999999</v>
      </c>
      <c r="J7" s="334">
        <f t="shared" ref="J7:J14" si="1">IF(I7=0,"",I7/H7)</f>
        <v>-0.24015977694776156</v>
      </c>
      <c r="K7" s="390">
        <f>6177925</f>
        <v>6177925</v>
      </c>
    </row>
    <row r="8" spans="1:11" ht="12.75" customHeight="1">
      <c r="A8" s="525" t="s">
        <v>1228</v>
      </c>
      <c r="B8" s="170"/>
      <c r="C8" s="767"/>
      <c r="D8" s="390">
        <f>1495833</f>
        <v>1495833</v>
      </c>
      <c r="E8" s="391"/>
      <c r="F8" s="391">
        <v>141012.82</v>
      </c>
      <c r="G8" s="391">
        <f>139217.35+139217.35+139217.35+139217.35+131046.96+141063.24+141012.82</f>
        <v>969992.41999999993</v>
      </c>
      <c r="H8" s="390">
        <v>1495833</v>
      </c>
      <c r="I8" s="45">
        <f t="shared" si="0"/>
        <v>-525840.58000000007</v>
      </c>
      <c r="J8" s="334">
        <f t="shared" si="1"/>
        <v>-0.35153695633135523</v>
      </c>
      <c r="K8" s="390">
        <f>1495833</f>
        <v>1495833</v>
      </c>
    </row>
    <row r="9" spans="1:11" ht="12.75" customHeight="1">
      <c r="A9" s="525" t="s">
        <v>535</v>
      </c>
      <c r="B9" s="170"/>
      <c r="C9" s="767"/>
      <c r="D9" s="390">
        <f>1261440</f>
        <v>1261440</v>
      </c>
      <c r="E9" s="391"/>
      <c r="F9" s="391">
        <v>21523.54</v>
      </c>
      <c r="G9" s="391">
        <f>26896.93+26896.93+26896.93+26896.93+22576.93+21136.93+21523.54</f>
        <v>172825.12</v>
      </c>
      <c r="H9" s="390">
        <v>1261440</v>
      </c>
      <c r="I9" s="45">
        <f t="shared" si="0"/>
        <v>-1088614.8799999999</v>
      </c>
      <c r="J9" s="334">
        <f t="shared" si="1"/>
        <v>-0.86299378488077105</v>
      </c>
      <c r="K9" s="390">
        <f>1261440</f>
        <v>1261440</v>
      </c>
    </row>
    <row r="10" spans="1:11" ht="12.75" customHeight="1">
      <c r="A10" s="525" t="s">
        <v>1229</v>
      </c>
      <c r="B10" s="170"/>
      <c r="C10" s="767"/>
      <c r="D10" s="390">
        <f>4243144</f>
        <v>4243144</v>
      </c>
      <c r="E10" s="391"/>
      <c r="F10" s="391">
        <v>240744.6</v>
      </c>
      <c r="G10" s="391">
        <f>241430.45+241430.45+241430.45+241430.45+222237.83+240744.6+240744.6</f>
        <v>1669448.8300000003</v>
      </c>
      <c r="H10" s="390">
        <v>4243144</v>
      </c>
      <c r="I10" s="45">
        <f>G10-H10</f>
        <v>-2573695.17</v>
      </c>
      <c r="J10" s="334">
        <f>IF(I10=0,"",I10/H10)</f>
        <v>-0.60655381245604667</v>
      </c>
      <c r="K10" s="390">
        <f>4243144</f>
        <v>4243144</v>
      </c>
    </row>
    <row r="11" spans="1:11" ht="12.75" customHeight="1">
      <c r="A11" s="40" t="s">
        <v>1230</v>
      </c>
      <c r="B11" s="170"/>
      <c r="C11" s="767"/>
      <c r="D11" s="390">
        <f>923148</f>
        <v>923148</v>
      </c>
      <c r="E11" s="391"/>
      <c r="F11" s="391">
        <f>80629</f>
        <v>80629</v>
      </c>
      <c r="G11" s="391">
        <f>75240+75240+75240+75240+75831+80629+80629</f>
        <v>538049</v>
      </c>
      <c r="H11" s="390">
        <v>923148</v>
      </c>
      <c r="I11" s="45">
        <f>G11-H11</f>
        <v>-385099</v>
      </c>
      <c r="J11" s="334">
        <f>IF(I11=0,"",I11/H11)</f>
        <v>-0.41715846213174917</v>
      </c>
      <c r="K11" s="390">
        <f>923148</f>
        <v>923148</v>
      </c>
    </row>
    <row r="12" spans="1:11" ht="12.75" customHeight="1">
      <c r="A12" s="40" t="s">
        <v>1231</v>
      </c>
      <c r="B12" s="170"/>
      <c r="C12" s="767"/>
      <c r="D12" s="390"/>
      <c r="E12" s="391"/>
      <c r="F12" s="391"/>
      <c r="G12" s="391"/>
      <c r="H12" s="390"/>
      <c r="I12" s="45">
        <f>G12-H12</f>
        <v>0</v>
      </c>
      <c r="J12" s="334" t="str">
        <f>IF(I12=0,"",I12/H12)</f>
        <v/>
      </c>
      <c r="K12" s="390"/>
    </row>
    <row r="13" spans="1:11" ht="12.75" customHeight="1">
      <c r="A13" s="40" t="s">
        <v>1232</v>
      </c>
      <c r="B13" s="170"/>
      <c r="C13" s="767"/>
      <c r="D13" s="764">
        <f>9972219</f>
        <v>9972219</v>
      </c>
      <c r="E13" s="752"/>
      <c r="F13" s="752">
        <f>20400+319206.05+55857.25+27890.71</f>
        <v>423354.01</v>
      </c>
      <c r="G13" s="752">
        <f>309877.83+309877.83+309877.83+309877.83+381643.52+423377.14+423354.01</f>
        <v>2467885.9900000002</v>
      </c>
      <c r="H13" s="764">
        <v>9972219</v>
      </c>
      <c r="I13" s="45">
        <f t="shared" si="0"/>
        <v>-7504333.0099999998</v>
      </c>
      <c r="J13" s="334">
        <f t="shared" si="1"/>
        <v>-0.75252388761217537</v>
      </c>
      <c r="K13" s="764">
        <f>9972219</f>
        <v>9972219</v>
      </c>
    </row>
    <row r="14" spans="1:11" ht="12.75" customHeight="1">
      <c r="A14" s="88" t="s">
        <v>536</v>
      </c>
      <c r="B14" s="170"/>
      <c r="C14" s="523">
        <f t="shared" ref="C14:K14" si="2">SUM(C7:C13)</f>
        <v>0</v>
      </c>
      <c r="D14" s="482">
        <f t="shared" si="2"/>
        <v>24073709</v>
      </c>
      <c r="E14" s="437">
        <f t="shared" si="2"/>
        <v>0</v>
      </c>
      <c r="F14" s="437">
        <f t="shared" si="2"/>
        <v>1609174.06</v>
      </c>
      <c r="G14" s="437">
        <f t="shared" si="2"/>
        <v>10512437.27</v>
      </c>
      <c r="H14" s="437">
        <f t="shared" si="2"/>
        <v>24073709</v>
      </c>
      <c r="I14" s="437">
        <f t="shared" si="0"/>
        <v>-13561271.73</v>
      </c>
      <c r="J14" s="438">
        <f t="shared" si="1"/>
        <v>-0.56332290674444896</v>
      </c>
      <c r="K14" s="520">
        <f t="shared" si="2"/>
        <v>24073709</v>
      </c>
    </row>
    <row r="15" spans="1:11" ht="12.75" customHeight="1">
      <c r="A15" s="578" t="s">
        <v>887</v>
      </c>
      <c r="B15" s="170">
        <v>4</v>
      </c>
      <c r="C15" s="174"/>
      <c r="D15" s="307" t="e">
        <f>IF(D14=0,"",(D14/C14)-1)</f>
        <v>#DIV/0!</v>
      </c>
      <c r="E15" s="307" t="str">
        <f>IF(E14=0,"",(E14/C14)-1)</f>
        <v/>
      </c>
      <c r="F15" s="307"/>
      <c r="G15" s="307"/>
      <c r="H15" s="307"/>
      <c r="I15" s="307"/>
      <c r="J15" s="348"/>
      <c r="K15" s="316" t="e">
        <f>IF(K14=0,"",(K14/C14)-1)</f>
        <v>#DIV/0!</v>
      </c>
    </row>
    <row r="16" spans="1:11" ht="5.0999999999999996" customHeight="1">
      <c r="A16" s="43"/>
      <c r="B16" s="170"/>
      <c r="C16" s="41"/>
      <c r="D16" s="105"/>
      <c r="E16" s="104"/>
      <c r="F16" s="104"/>
      <c r="G16" s="104"/>
      <c r="H16" s="104"/>
      <c r="I16" s="104"/>
      <c r="J16" s="334"/>
      <c r="K16" s="267"/>
    </row>
    <row r="17" spans="1:11" ht="12.75" customHeight="1">
      <c r="A17" s="579" t="s">
        <v>639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4"/>
      <c r="K17" s="267"/>
    </row>
    <row r="18" spans="1:11" ht="12.75" customHeight="1">
      <c r="A18" s="40" t="s">
        <v>607</v>
      </c>
      <c r="B18" s="170"/>
      <c r="C18" s="767"/>
      <c r="D18" s="390">
        <f>434516+484481+450187+478637+440167+418414+464774+661900+397851</f>
        <v>4230927</v>
      </c>
      <c r="E18" s="391"/>
      <c r="F18" s="391">
        <f>89819.68+43232.21+56667.79+53064.39+48749.42+140745.6+49000+53017.83</f>
        <v>534296.91999999993</v>
      </c>
      <c r="G18" s="391">
        <f>403671.1+409000+402000+371000+548000+89712.76+43250.2+57116.44+53083.33+49000+61087.6+65781.15+534000</f>
        <v>3086702.58</v>
      </c>
      <c r="H18" s="391">
        <v>4230927</v>
      </c>
      <c r="I18" s="45">
        <f t="shared" ref="I18:I30" si="3">G18-H18</f>
        <v>-1144224.42</v>
      </c>
      <c r="J18" s="334">
        <f t="shared" ref="J18:J29" si="4">IF(I18=0,"",I18/H18)</f>
        <v>-0.27044295966344961</v>
      </c>
      <c r="K18" s="390">
        <f>434516+484481+450187+478637+440167+418414+464774+661900+397851</f>
        <v>4230927</v>
      </c>
    </row>
    <row r="19" spans="1:11" ht="12.75" customHeight="1">
      <c r="A19" s="40" t="s">
        <v>1228</v>
      </c>
      <c r="B19" s="170"/>
      <c r="C19" s="767"/>
      <c r="D19" s="390">
        <f>78517+81349+79538+75607</f>
        <v>315011</v>
      </c>
      <c r="E19" s="391"/>
      <c r="F19" s="391">
        <f>16230.41+9588.74+8809.02+8854.3+9580.32</f>
        <v>53062.79</v>
      </c>
      <c r="G19" s="391">
        <f>42728.26+43000+43000+30000+39000+16211.09+9592.16+8854.3+9592.16+53000</f>
        <v>294977.96999999997</v>
      </c>
      <c r="H19" s="391">
        <v>315011</v>
      </c>
      <c r="I19" s="45">
        <f t="shared" si="3"/>
        <v>-20033.030000000028</v>
      </c>
      <c r="J19" s="334">
        <f t="shared" si="4"/>
        <v>-6.3594699867623755E-2</v>
      </c>
      <c r="K19" s="390">
        <f>78517+81349+79538+75607</f>
        <v>315011</v>
      </c>
    </row>
    <row r="20" spans="1:11" ht="12.75" customHeight="1">
      <c r="A20" s="40" t="s">
        <v>535</v>
      </c>
      <c r="B20" s="170"/>
      <c r="C20" s="767"/>
      <c r="D20" s="390">
        <f>29210+26561+37111+32695+33854+16078</f>
        <v>175509</v>
      </c>
      <c r="E20" s="391"/>
      <c r="F20" s="391">
        <f>1750.2+3440+3246.6+1530+1546.8</f>
        <v>11513.599999999999</v>
      </c>
      <c r="G20" s="391">
        <f>14159.55+15000+15000+10000+12000+1592.4+3440+2953.8+1464+12000</f>
        <v>87609.75</v>
      </c>
      <c r="H20" s="391">
        <v>175509</v>
      </c>
      <c r="I20" s="45">
        <f t="shared" si="3"/>
        <v>-87899.25</v>
      </c>
      <c r="J20" s="334">
        <f t="shared" si="4"/>
        <v>-0.5008247440302207</v>
      </c>
      <c r="K20" s="390">
        <f>29210+26561+37111+32695+33854+16078</f>
        <v>175509</v>
      </c>
    </row>
    <row r="21" spans="1:11" ht="12.75" customHeight="1">
      <c r="A21" s="40" t="s">
        <v>680</v>
      </c>
      <c r="B21" s="170"/>
      <c r="C21" s="767"/>
      <c r="D21" s="391"/>
      <c r="E21" s="391"/>
      <c r="F21" s="391"/>
      <c r="G21" s="391"/>
      <c r="H21" s="391"/>
      <c r="I21" s="45">
        <f t="shared" si="3"/>
        <v>0</v>
      </c>
      <c r="J21" s="334" t="str">
        <f t="shared" si="4"/>
        <v/>
      </c>
      <c r="K21" s="391"/>
    </row>
    <row r="22" spans="1:11" ht="12.75" customHeight="1">
      <c r="A22" s="40" t="s">
        <v>537</v>
      </c>
      <c r="B22" s="170"/>
      <c r="C22" s="767"/>
      <c r="D22" s="390">
        <f>36210+39886+36681+34868+38731+33154</f>
        <v>219530</v>
      </c>
      <c r="E22" s="391"/>
      <c r="F22" s="391"/>
      <c r="G22" s="391"/>
      <c r="H22" s="391">
        <v>219530</v>
      </c>
      <c r="I22" s="45">
        <f>G22-H22</f>
        <v>-219530</v>
      </c>
      <c r="J22" s="334">
        <f>IF(I22=0,"",I22/H22)</f>
        <v>-1</v>
      </c>
      <c r="K22" s="390">
        <f>36210+39886+36681+34868+38731+33154</f>
        <v>219530</v>
      </c>
    </row>
    <row r="23" spans="1:11" ht="12.75" customHeight="1">
      <c r="A23" s="40" t="s">
        <v>1229</v>
      </c>
      <c r="B23" s="170"/>
      <c r="C23" s="767"/>
      <c r="D23" s="391">
        <f>120000+120000+170160+120000+119248+101018+120000+120000+116245</f>
        <v>1106671</v>
      </c>
      <c r="E23" s="391"/>
      <c r="F23" s="391">
        <f>16478.95+10000+20900.07+14442.78+16650.45+18050.31+12954.84</f>
        <v>109477.4</v>
      </c>
      <c r="G23" s="391">
        <f>121433.12+126000+131000+93000+124000+16478.95+19081.7+16573.19+14442.78+16650.45+10000+15439.64+109000</f>
        <v>813099.82999999984</v>
      </c>
      <c r="H23" s="391">
        <v>1106671</v>
      </c>
      <c r="I23" s="45">
        <f>G23-H23</f>
        <v>-293571.17000000016</v>
      </c>
      <c r="J23" s="334">
        <f>IF(I23=0,"",I23/H23)</f>
        <v>-0.26527411489051411</v>
      </c>
      <c r="K23" s="391">
        <f>120000+120000+170160+120000+119248+101018+120000+120000+116245</f>
        <v>1106671</v>
      </c>
    </row>
    <row r="24" spans="1:11" ht="12.75" customHeight="1">
      <c r="A24" s="40" t="s">
        <v>1230</v>
      </c>
      <c r="B24" s="170"/>
      <c r="C24" s="767"/>
      <c r="D24" s="390">
        <f>24000+12000+18000+12000+12000+12000+12000+18000+18000</f>
        <v>138000</v>
      </c>
      <c r="E24" s="391"/>
      <c r="F24" s="391">
        <f>3000+1000+1500+1500+1500+1500+1500</f>
        <v>11500</v>
      </c>
      <c r="G24" s="391">
        <f>12000+12000+12000+9000+10000+6000+1000+1500+1500+1500+1500+1500+1500+12000</f>
        <v>83000</v>
      </c>
      <c r="H24" s="391">
        <v>138000</v>
      </c>
      <c r="I24" s="45">
        <f>G24-H24</f>
        <v>-55000</v>
      </c>
      <c r="J24" s="334">
        <f>IF(I24=0,"",I24/H24)</f>
        <v>-0.39855072463768115</v>
      </c>
      <c r="K24" s="390">
        <f>24000+12000+18000+12000+12000+12000+12000+18000+18000</f>
        <v>138000</v>
      </c>
    </row>
    <row r="25" spans="1:11" ht="12.75" customHeight="1">
      <c r="A25" s="40" t="s">
        <v>1231</v>
      </c>
      <c r="B25" s="170"/>
      <c r="C25" s="767"/>
      <c r="D25" s="390"/>
      <c r="E25" s="391"/>
      <c r="F25" s="391"/>
      <c r="G25" s="391"/>
      <c r="H25" s="391"/>
      <c r="I25" s="45">
        <f>G25-H25</f>
        <v>0</v>
      </c>
      <c r="J25" s="334" t="str">
        <f>IF(I25=0,"",I25/H25)</f>
        <v/>
      </c>
      <c r="K25" s="390"/>
    </row>
    <row r="26" spans="1:11" ht="12.75" customHeight="1">
      <c r="A26" s="40" t="s">
        <v>1232</v>
      </c>
      <c r="B26" s="170"/>
      <c r="C26" s="767"/>
      <c r="D26" s="390">
        <f>1497+1497+9004+1497+1497+1497+1497+1497+1497+1497</f>
        <v>22477</v>
      </c>
      <c r="E26" s="391"/>
      <c r="F26" s="391">
        <f>429.78+297.44+148.72+148.72+148.72+148.72+148.72+148.72</f>
        <v>1619.5400000000002</v>
      </c>
      <c r="G26" s="391">
        <f>2334.02+2000+2000+2000+2000+148.72+148.72+148.72+148.72+148.72+2000</f>
        <v>13077.619999999997</v>
      </c>
      <c r="H26" s="391">
        <v>22477</v>
      </c>
      <c r="I26" s="45">
        <f t="shared" si="3"/>
        <v>-9399.3800000000028</v>
      </c>
      <c r="J26" s="334">
        <f t="shared" si="4"/>
        <v>-0.41817769275259165</v>
      </c>
      <c r="K26" s="390">
        <f>1497+1497+9004+1497+1497+1497+1497+1497+1497+1497</f>
        <v>22477</v>
      </c>
    </row>
    <row r="27" spans="1:11" ht="12.75" customHeight="1">
      <c r="A27" s="40" t="s">
        <v>1233</v>
      </c>
      <c r="B27" s="170"/>
      <c r="C27" s="767"/>
      <c r="D27" s="764"/>
      <c r="E27" s="752"/>
      <c r="F27" s="752"/>
      <c r="G27" s="752"/>
      <c r="H27" s="752"/>
      <c r="I27" s="45">
        <f t="shared" si="3"/>
        <v>0</v>
      </c>
      <c r="J27" s="334" t="str">
        <f t="shared" si="4"/>
        <v/>
      </c>
      <c r="K27" s="764"/>
    </row>
    <row r="28" spans="1:11" ht="12.75" customHeight="1">
      <c r="A28" s="40" t="s">
        <v>1234</v>
      </c>
      <c r="B28" s="170"/>
      <c r="C28" s="767"/>
      <c r="D28" s="764">
        <f>25000+30000+30000+30000+30000+30000+20000</f>
        <v>195000</v>
      </c>
      <c r="E28" s="752"/>
      <c r="F28" s="752"/>
      <c r="G28" s="752"/>
      <c r="H28" s="752">
        <v>195000</v>
      </c>
      <c r="I28" s="45">
        <f t="shared" si="3"/>
        <v>-195000</v>
      </c>
      <c r="J28" s="334">
        <f t="shared" si="4"/>
        <v>-1</v>
      </c>
      <c r="K28" s="764">
        <f>25000+30000+30000+30000+30000+30000+20000</f>
        <v>195000</v>
      </c>
    </row>
    <row r="29" spans="1:11" ht="12.75" customHeight="1">
      <c r="A29" s="40" t="s">
        <v>1235</v>
      </c>
      <c r="B29" s="170">
        <v>2</v>
      </c>
      <c r="C29" s="767"/>
      <c r="D29" s="764"/>
      <c r="E29" s="752"/>
      <c r="F29" s="752"/>
      <c r="G29" s="752"/>
      <c r="H29" s="752"/>
      <c r="I29" s="45">
        <f t="shared" si="3"/>
        <v>0</v>
      </c>
      <c r="J29" s="334" t="str">
        <f t="shared" si="4"/>
        <v/>
      </c>
      <c r="K29" s="764"/>
    </row>
    <row r="30" spans="1:11" ht="12.75" customHeight="1">
      <c r="A30" s="88" t="s">
        <v>538</v>
      </c>
      <c r="B30" s="170"/>
      <c r="C30" s="523">
        <f t="shared" ref="C30:K30" si="5">SUM(C18:C29)</f>
        <v>0</v>
      </c>
      <c r="D30" s="482">
        <f t="shared" si="5"/>
        <v>6403125</v>
      </c>
      <c r="E30" s="437">
        <f t="shared" si="5"/>
        <v>0</v>
      </c>
      <c r="F30" s="437">
        <f>SUM(F18:F29)</f>
        <v>721470.25</v>
      </c>
      <c r="G30" s="437">
        <f>SUM(G18:G29)</f>
        <v>4378467.75</v>
      </c>
      <c r="H30" s="437">
        <f>SUM(H18:H29)</f>
        <v>6403125</v>
      </c>
      <c r="I30" s="437">
        <f t="shared" si="3"/>
        <v>-2024657.25</v>
      </c>
      <c r="J30" s="438">
        <f>IF(I30=0,"",I30/H30)</f>
        <v>-0.31619830161054174</v>
      </c>
      <c r="K30" s="520">
        <f t="shared" si="5"/>
        <v>6403125</v>
      </c>
    </row>
    <row r="31" spans="1:11" ht="12.75" customHeight="1">
      <c r="A31" s="578" t="s">
        <v>887</v>
      </c>
      <c r="B31" s="170">
        <v>4</v>
      </c>
      <c r="C31" s="174"/>
      <c r="D31" s="307" t="e">
        <f>IF(D30=0,"",(D30/C30)-1)</f>
        <v>#DIV/0!</v>
      </c>
      <c r="E31" s="307" t="str">
        <f>IF(E30=0,"",(E30/C30)-1)</f>
        <v/>
      </c>
      <c r="F31" s="307"/>
      <c r="G31" s="307"/>
      <c r="H31" s="307"/>
      <c r="I31" s="307"/>
      <c r="J31" s="348"/>
      <c r="K31" s="316" t="e">
        <f>IF(K30=0,"",(K30/C30)-1)</f>
        <v>#DIV/0!</v>
      </c>
    </row>
    <row r="32" spans="1:11" ht="5.0999999999999996" customHeight="1">
      <c r="A32" s="43"/>
      <c r="B32" s="170"/>
      <c r="C32" s="41"/>
      <c r="D32" s="105"/>
      <c r="E32" s="104"/>
      <c r="F32" s="104"/>
      <c r="G32" s="104"/>
      <c r="H32" s="104"/>
      <c r="I32" s="104"/>
      <c r="J32" s="334"/>
      <c r="K32" s="267"/>
    </row>
    <row r="33" spans="1:11" ht="12.75" customHeight="1">
      <c r="A33" s="579" t="s">
        <v>539</v>
      </c>
      <c r="B33" s="170"/>
      <c r="C33" s="41"/>
      <c r="D33" s="105"/>
      <c r="E33" s="104"/>
      <c r="F33" s="104"/>
      <c r="G33" s="104"/>
      <c r="H33" s="104"/>
      <c r="I33" s="104"/>
      <c r="J33" s="334"/>
      <c r="K33" s="267"/>
    </row>
    <row r="34" spans="1:11" ht="12.75" customHeight="1">
      <c r="A34" s="525" t="s">
        <v>607</v>
      </c>
      <c r="B34" s="170"/>
      <c r="C34" s="767"/>
      <c r="D34" s="390">
        <f>141029777-D18</f>
        <v>136798850</v>
      </c>
      <c r="E34" s="391"/>
      <c r="F34" s="391">
        <f>10626319.46-F18</f>
        <v>10092022.540000001</v>
      </c>
      <c r="G34" s="391">
        <f>9380781.51+11092000+9982000+10313000+10035000-9990188+10674000+9991257.75+10092000</f>
        <v>71569851.25999999</v>
      </c>
      <c r="H34" s="391">
        <v>136798850</v>
      </c>
      <c r="I34" s="45">
        <f t="shared" ref="I34:I46" si="6">G34-H34</f>
        <v>-65228998.74000001</v>
      </c>
      <c r="J34" s="334">
        <f t="shared" ref="J34:J45" si="7">IF(I34=0,"",I34/H34)</f>
        <v>-0.47682417461842708</v>
      </c>
      <c r="K34" s="390">
        <f>141029777-K18</f>
        <v>136798850</v>
      </c>
    </row>
    <row r="35" spans="1:11" ht="12.75" customHeight="1">
      <c r="A35" s="525" t="s">
        <v>1228</v>
      </c>
      <c r="B35" s="170"/>
      <c r="C35" s="767"/>
      <c r="D35" s="390">
        <f>(11828142+9335318)-D19</f>
        <v>20848449</v>
      </c>
      <c r="E35" s="391"/>
      <c r="F35" s="391">
        <f>(909864.98+802567.25)-F19</f>
        <v>1659369.44</v>
      </c>
      <c r="G35" s="391">
        <f>1517264.37+1642000+1641000+1649000+1639000+1654000+1659000</f>
        <v>11401264.370000001</v>
      </c>
      <c r="H35" s="391">
        <v>20848449</v>
      </c>
      <c r="I35" s="45">
        <f t="shared" si="6"/>
        <v>-9447184.629999999</v>
      </c>
      <c r="J35" s="334">
        <f t="shared" si="7"/>
        <v>-0.45313608844475667</v>
      </c>
      <c r="K35" s="390">
        <f>(11828142+9335318)-K19</f>
        <v>20848449</v>
      </c>
    </row>
    <row r="36" spans="1:11" ht="12.75" customHeight="1">
      <c r="A36" s="525" t="s">
        <v>535</v>
      </c>
      <c r="B36" s="170"/>
      <c r="C36" s="767"/>
      <c r="D36" s="390">
        <f>7056300-D20</f>
        <v>6880791</v>
      </c>
      <c r="E36" s="391"/>
      <c r="F36" s="391">
        <f>561941.55-F20</f>
        <v>550427.95000000007</v>
      </c>
      <c r="G36" s="391">
        <f>480932.85+495000+494000+499000+498000+501000+550000</f>
        <v>3517932.85</v>
      </c>
      <c r="H36" s="391">
        <v>6880791</v>
      </c>
      <c r="I36" s="45">
        <f t="shared" si="6"/>
        <v>-3362858.15</v>
      </c>
      <c r="J36" s="334">
        <f t="shared" si="7"/>
        <v>-0.48873133190646251</v>
      </c>
      <c r="K36" s="390">
        <f>7056300-K20</f>
        <v>6880791</v>
      </c>
    </row>
    <row r="37" spans="1:11" ht="12.75" customHeight="1">
      <c r="A37" s="525" t="s">
        <v>680</v>
      </c>
      <c r="B37" s="170"/>
      <c r="C37" s="767"/>
      <c r="D37" s="390">
        <v>6745433</v>
      </c>
      <c r="E37" s="391"/>
      <c r="F37" s="391">
        <v>1427075.69</v>
      </c>
      <c r="G37" s="391">
        <f>561951.11+1311000+727000+1149000+684000+815000+1427000</f>
        <v>6674951.1099999994</v>
      </c>
      <c r="H37" s="391">
        <v>6745433</v>
      </c>
      <c r="I37" s="45">
        <f t="shared" si="6"/>
        <v>-70481.890000000596</v>
      </c>
      <c r="J37" s="334">
        <f t="shared" si="7"/>
        <v>-1.0448831083193709E-2</v>
      </c>
      <c r="K37" s="390">
        <v>6745433</v>
      </c>
    </row>
    <row r="38" spans="1:11" ht="12.75" customHeight="1">
      <c r="A38" s="525" t="s">
        <v>537</v>
      </c>
      <c r="B38" s="170"/>
      <c r="C38" s="767"/>
      <c r="D38" s="764">
        <f>(8932227+658653)-D22</f>
        <v>9371350</v>
      </c>
      <c r="E38" s="752"/>
      <c r="F38" s="752">
        <v>855661.78</v>
      </c>
      <c r="G38" s="752">
        <f>949157.93+656000+733000+661000+1141000+1129000+856000</f>
        <v>6125157.9299999997</v>
      </c>
      <c r="H38" s="752">
        <v>9371350</v>
      </c>
      <c r="I38" s="45">
        <f t="shared" si="6"/>
        <v>-3246192.0700000003</v>
      </c>
      <c r="J38" s="334">
        <f t="shared" si="7"/>
        <v>-0.34639535072321492</v>
      </c>
      <c r="K38" s="764">
        <f>(8932227+658653)-K22</f>
        <v>9371350</v>
      </c>
    </row>
    <row r="39" spans="1:11" ht="12.75" customHeight="1">
      <c r="A39" s="525" t="s">
        <v>1229</v>
      </c>
      <c r="B39" s="170"/>
      <c r="C39" s="767"/>
      <c r="D39" s="390">
        <f>4735870-D23</f>
        <v>3629199</v>
      </c>
      <c r="E39" s="391"/>
      <c r="F39" s="391">
        <f>401034.6-F23</f>
        <v>291557.19999999995</v>
      </c>
      <c r="G39" s="391">
        <f>213555.37+226000+245000+241000+287000+278000+292000</f>
        <v>1782555.37</v>
      </c>
      <c r="H39" s="391">
        <v>3629199</v>
      </c>
      <c r="I39" s="45">
        <f>G39-H39</f>
        <v>-1846643.63</v>
      </c>
      <c r="J39" s="334">
        <f>IF(I39=0,"",I39/H39)</f>
        <v>-0.50882953235686434</v>
      </c>
      <c r="K39" s="390">
        <f>4735870-K23</f>
        <v>3629199</v>
      </c>
    </row>
    <row r="40" spans="1:11" ht="12.75" customHeight="1">
      <c r="A40" s="525" t="s">
        <v>1230</v>
      </c>
      <c r="B40" s="170"/>
      <c r="C40" s="767"/>
      <c r="D40" s="764">
        <f>1010497-D24</f>
        <v>872497</v>
      </c>
      <c r="E40" s="752"/>
      <c r="F40" s="752">
        <f>38700-F24</f>
        <v>27200</v>
      </c>
      <c r="G40" s="752">
        <f>24200+24000+29000+29000+42000+24000+27000</f>
        <v>199200</v>
      </c>
      <c r="H40" s="752">
        <v>872497</v>
      </c>
      <c r="I40" s="45">
        <f>G40-H40</f>
        <v>-673297</v>
      </c>
      <c r="J40" s="334">
        <f>IF(I40=0,"",I40/H40)</f>
        <v>-0.7716897593917228</v>
      </c>
      <c r="K40" s="764">
        <f>1010497-K24</f>
        <v>872497</v>
      </c>
    </row>
    <row r="41" spans="1:11" ht="12.75" customHeight="1">
      <c r="A41" s="525" t="s">
        <v>1231</v>
      </c>
      <c r="B41" s="170"/>
      <c r="C41" s="767"/>
      <c r="D41" s="390">
        <v>3421646</v>
      </c>
      <c r="E41" s="391"/>
      <c r="F41" s="391">
        <v>48210</v>
      </c>
      <c r="G41" s="391">
        <f>47874.54+48000+49000+50000+50000+52000+48000</f>
        <v>344874.54000000004</v>
      </c>
      <c r="H41" s="391">
        <v>3421646</v>
      </c>
      <c r="I41" s="45">
        <f>G41-H41</f>
        <v>-3076771.46</v>
      </c>
      <c r="J41" s="334">
        <f>IF(I41=0,"",I41/H41)</f>
        <v>-0.89920800106147747</v>
      </c>
      <c r="K41" s="390">
        <v>3421646</v>
      </c>
    </row>
    <row r="42" spans="1:11" ht="12.75" customHeight="1">
      <c r="A42" s="525" t="s">
        <v>1232</v>
      </c>
      <c r="B42" s="170"/>
      <c r="C42" s="767"/>
      <c r="D42" s="390">
        <f>(633430+30000+293800+134512+152809+1280994)-D26</f>
        <v>2503068</v>
      </c>
      <c r="E42" s="391"/>
      <c r="F42" s="391">
        <f>(244364.37+106890.53+60+29023.19+104011.5)-F26</f>
        <v>482730.05000000005</v>
      </c>
      <c r="G42" s="391">
        <f>181265.92+219000+187000+366000+406000+379000+483000</f>
        <v>2221265.9199999999</v>
      </c>
      <c r="H42" s="391">
        <v>2503068</v>
      </c>
      <c r="I42" s="45">
        <f t="shared" si="6"/>
        <v>-281802.08000000007</v>
      </c>
      <c r="J42" s="334">
        <f t="shared" si="7"/>
        <v>-0.11258267054670511</v>
      </c>
      <c r="K42" s="390">
        <f>(633430+30000+293800+134512+152809+1280994)-K26</f>
        <v>2503068</v>
      </c>
    </row>
    <row r="43" spans="1:11" ht="12.75" customHeight="1">
      <c r="A43" s="525" t="s">
        <v>1233</v>
      </c>
      <c r="B43" s="170"/>
      <c r="C43" s="767"/>
      <c r="D43" s="764"/>
      <c r="E43" s="752"/>
      <c r="F43" s="752"/>
      <c r="G43" s="752"/>
      <c r="H43" s="752"/>
      <c r="I43" s="45">
        <f t="shared" si="6"/>
        <v>0</v>
      </c>
      <c r="J43" s="334" t="str">
        <f t="shared" si="7"/>
        <v/>
      </c>
      <c r="K43" s="764"/>
    </row>
    <row r="44" spans="1:11" ht="12.75" customHeight="1">
      <c r="A44" s="525" t="s">
        <v>1234</v>
      </c>
      <c r="B44" s="170"/>
      <c r="C44" s="767"/>
      <c r="D44" s="764">
        <f>4620271-D28</f>
        <v>4425271</v>
      </c>
      <c r="E44" s="752"/>
      <c r="F44" s="752">
        <v>47527.77</v>
      </c>
      <c r="G44" s="752">
        <f>17378.67+51000+21000+41000+80000+151000+48000</f>
        <v>409378.67</v>
      </c>
      <c r="H44" s="752">
        <v>4425271</v>
      </c>
      <c r="I44" s="45">
        <f t="shared" si="6"/>
        <v>-4015892.33</v>
      </c>
      <c r="J44" s="334">
        <f t="shared" si="7"/>
        <v>-0.90749071186826757</v>
      </c>
      <c r="K44" s="764">
        <f>4620271-K28</f>
        <v>4425271</v>
      </c>
    </row>
    <row r="45" spans="1:11" ht="12.75" customHeight="1">
      <c r="A45" s="525" t="s">
        <v>1235</v>
      </c>
      <c r="B45" s="170">
        <v>2</v>
      </c>
      <c r="C45" s="767"/>
      <c r="D45" s="764"/>
      <c r="E45" s="752"/>
      <c r="F45" s="752"/>
      <c r="G45" s="752"/>
      <c r="H45" s="752"/>
      <c r="I45" s="45">
        <f t="shared" si="6"/>
        <v>0</v>
      </c>
      <c r="J45" s="334" t="str">
        <f t="shared" si="7"/>
        <v/>
      </c>
      <c r="K45" s="764"/>
    </row>
    <row r="46" spans="1:11" ht="12.75" customHeight="1">
      <c r="A46" s="88" t="s">
        <v>540</v>
      </c>
      <c r="B46" s="170"/>
      <c r="C46" s="523">
        <f t="shared" ref="C46:K46" si="8">SUM(C34:C45)</f>
        <v>0</v>
      </c>
      <c r="D46" s="482">
        <f t="shared" si="8"/>
        <v>195496554</v>
      </c>
      <c r="E46" s="437">
        <f t="shared" si="8"/>
        <v>0</v>
      </c>
      <c r="F46" s="437">
        <f>SUM(F34:F45)</f>
        <v>15481782.419999998</v>
      </c>
      <c r="G46" s="437">
        <f>SUM(G34:G45)</f>
        <v>104246432.02</v>
      </c>
      <c r="H46" s="437">
        <f>SUM(H34:H45)</f>
        <v>195496554</v>
      </c>
      <c r="I46" s="437">
        <f t="shared" si="6"/>
        <v>-91250121.980000004</v>
      </c>
      <c r="J46" s="438">
        <f>IF(I46=0,"",I46/H46)</f>
        <v>-0.46676076950185019</v>
      </c>
      <c r="K46" s="520">
        <f t="shared" si="8"/>
        <v>195496554</v>
      </c>
    </row>
    <row r="47" spans="1:11" ht="12.75" customHeight="1">
      <c r="A47" s="578" t="s">
        <v>887</v>
      </c>
      <c r="B47" s="170">
        <v>4</v>
      </c>
      <c r="C47" s="406"/>
      <c r="D47" s="307" t="e">
        <f>IF(D46=0,"",(D46/C46)-1)</f>
        <v>#DIV/0!</v>
      </c>
      <c r="E47" s="307" t="str">
        <f>IF(E46=0,"",(E46/C46)-1)</f>
        <v/>
      </c>
      <c r="F47" s="307"/>
      <c r="G47" s="307"/>
      <c r="H47" s="307"/>
      <c r="I47" s="408"/>
      <c r="J47" s="410"/>
      <c r="K47" s="316" t="e">
        <f>IF(K46=0,"",(K46/C46)-1)</f>
        <v>#DIV/0!</v>
      </c>
    </row>
    <row r="48" spans="1:11" ht="5.0999999999999996" customHeight="1">
      <c r="A48" s="43"/>
      <c r="B48" s="170"/>
      <c r="C48" s="407"/>
      <c r="D48" s="105"/>
      <c r="E48" s="104"/>
      <c r="F48" s="104"/>
      <c r="G48" s="104"/>
      <c r="H48" s="104"/>
      <c r="I48" s="409"/>
      <c r="J48" s="411"/>
      <c r="K48" s="267"/>
    </row>
    <row r="49" spans="1:11" ht="12.75" customHeight="1">
      <c r="A49" s="93" t="s">
        <v>561</v>
      </c>
      <c r="B49" s="234"/>
      <c r="C49" s="244">
        <f>C14+C30+C46</f>
        <v>0</v>
      </c>
      <c r="D49" s="75">
        <f t="shared" ref="D49:K49" si="9">D14+D30+D46</f>
        <v>225973388</v>
      </c>
      <c r="E49" s="74">
        <f t="shared" si="9"/>
        <v>0</v>
      </c>
      <c r="F49" s="74">
        <f t="shared" si="9"/>
        <v>17812426.729999997</v>
      </c>
      <c r="G49" s="74">
        <f t="shared" si="9"/>
        <v>119137337.03999999</v>
      </c>
      <c r="H49" s="74">
        <f t="shared" si="9"/>
        <v>225973388</v>
      </c>
      <c r="I49" s="74">
        <f>G49-H49</f>
        <v>-106836050.96000001</v>
      </c>
      <c r="J49" s="335">
        <f>IF(I49=0,"",I49/H49)</f>
        <v>-0.47278156027823953</v>
      </c>
      <c r="K49" s="146">
        <f t="shared" si="9"/>
        <v>225973388</v>
      </c>
    </row>
    <row r="50" spans="1:11" ht="5.0999999999999996" customHeight="1">
      <c r="A50" s="43"/>
      <c r="B50" s="170"/>
      <c r="C50" s="174"/>
      <c r="D50" s="307" t="e">
        <f>IF(D49=0,"",(D49/C49)-1)</f>
        <v>#DIV/0!</v>
      </c>
      <c r="E50" s="307" t="str">
        <f>IF(E49=0,"",(E49/C49)-1)</f>
        <v/>
      </c>
      <c r="F50" s="307"/>
      <c r="G50" s="307"/>
      <c r="H50" s="307"/>
      <c r="I50" s="307"/>
      <c r="J50" s="348"/>
      <c r="K50" s="316" t="e">
        <f>IF(K49=0,"",(K49/C49)-1)</f>
        <v>#DIV/0!</v>
      </c>
    </row>
    <row r="51" spans="1:11" ht="12.75" customHeight="1">
      <c r="A51" s="354" t="s">
        <v>1068</v>
      </c>
      <c r="B51" s="249"/>
      <c r="C51" s="355"/>
      <c r="D51" s="356"/>
      <c r="E51" s="357"/>
      <c r="F51" s="357"/>
      <c r="G51" s="357"/>
      <c r="H51" s="357"/>
      <c r="I51" s="357"/>
      <c r="J51" s="357"/>
      <c r="K51" s="358"/>
    </row>
    <row r="52" spans="1:11" ht="5.0999999999999996" customHeight="1">
      <c r="A52" s="43"/>
      <c r="B52" s="170"/>
      <c r="C52" s="174"/>
      <c r="D52" s="314"/>
      <c r="E52" s="147"/>
      <c r="F52" s="147"/>
      <c r="G52" s="147"/>
      <c r="H52" s="147"/>
      <c r="I52" s="147"/>
      <c r="J52" s="147"/>
      <c r="K52" s="315"/>
    </row>
    <row r="53" spans="1:11" ht="12.75" customHeight="1">
      <c r="A53" s="579" t="s">
        <v>700</v>
      </c>
      <c r="B53" s="170"/>
      <c r="C53" s="41"/>
      <c r="D53" s="105"/>
      <c r="E53" s="104"/>
      <c r="F53" s="104"/>
      <c r="G53" s="104"/>
      <c r="H53" s="104"/>
      <c r="I53" s="104"/>
      <c r="J53" s="334"/>
      <c r="K53" s="267"/>
    </row>
    <row r="54" spans="1:11" ht="12.75" customHeight="1">
      <c r="A54" s="40" t="s">
        <v>607</v>
      </c>
      <c r="B54" s="170"/>
      <c r="C54" s="767"/>
      <c r="D54" s="764"/>
      <c r="E54" s="752"/>
      <c r="F54" s="752"/>
      <c r="G54" s="752"/>
      <c r="H54" s="752"/>
      <c r="I54" s="45">
        <f t="shared" ref="I54:I67" si="10">G54-H54</f>
        <v>0</v>
      </c>
      <c r="J54" s="334" t="str">
        <f t="shared" ref="J54:J66" si="11">IF(I54=0,"",I54/H54)</f>
        <v/>
      </c>
      <c r="K54" s="764"/>
    </row>
    <row r="55" spans="1:11" ht="12.75" customHeight="1">
      <c r="A55" s="40" t="s">
        <v>1228</v>
      </c>
      <c r="B55" s="170"/>
      <c r="C55" s="767"/>
      <c r="D55" s="764"/>
      <c r="E55" s="752"/>
      <c r="F55" s="752"/>
      <c r="G55" s="752"/>
      <c r="H55" s="752"/>
      <c r="I55" s="45">
        <f t="shared" si="10"/>
        <v>0</v>
      </c>
      <c r="J55" s="334" t="str">
        <f t="shared" si="11"/>
        <v/>
      </c>
      <c r="K55" s="764"/>
    </row>
    <row r="56" spans="1:11" ht="12.75" customHeight="1">
      <c r="A56" s="40" t="s">
        <v>535</v>
      </c>
      <c r="B56" s="170"/>
      <c r="C56" s="767"/>
      <c r="D56" s="764"/>
      <c r="E56" s="752"/>
      <c r="F56" s="752"/>
      <c r="G56" s="752"/>
      <c r="H56" s="752"/>
      <c r="I56" s="45">
        <f t="shared" si="10"/>
        <v>0</v>
      </c>
      <c r="J56" s="334" t="str">
        <f t="shared" si="11"/>
        <v/>
      </c>
      <c r="K56" s="764"/>
    </row>
    <row r="57" spans="1:11" ht="12.75" customHeight="1">
      <c r="A57" s="40" t="s">
        <v>680</v>
      </c>
      <c r="B57" s="170"/>
      <c r="C57" s="767"/>
      <c r="D57" s="764"/>
      <c r="E57" s="752"/>
      <c r="F57" s="752"/>
      <c r="G57" s="752"/>
      <c r="H57" s="752"/>
      <c r="I57" s="45">
        <f>G57-H57</f>
        <v>0</v>
      </c>
      <c r="J57" s="334" t="str">
        <f>IF(I57=0,"",I57/H57)</f>
        <v/>
      </c>
      <c r="K57" s="764"/>
    </row>
    <row r="58" spans="1:11" ht="12.75" customHeight="1">
      <c r="A58" s="40" t="s">
        <v>537</v>
      </c>
      <c r="B58" s="170"/>
      <c r="C58" s="767"/>
      <c r="D58" s="764"/>
      <c r="E58" s="752"/>
      <c r="F58" s="752"/>
      <c r="G58" s="752"/>
      <c r="H58" s="752"/>
      <c r="I58" s="45">
        <f>G58-H58</f>
        <v>0</v>
      </c>
      <c r="J58" s="334" t="str">
        <f>IF(I58=0,"",I58/H58)</f>
        <v/>
      </c>
      <c r="K58" s="764"/>
    </row>
    <row r="59" spans="1:11" ht="12.75" customHeight="1">
      <c r="A59" s="40" t="s">
        <v>1229</v>
      </c>
      <c r="B59" s="170"/>
      <c r="C59" s="767"/>
      <c r="D59" s="764"/>
      <c r="E59" s="752"/>
      <c r="F59" s="752"/>
      <c r="G59" s="752"/>
      <c r="H59" s="752"/>
      <c r="I59" s="45">
        <f>G59-H59</f>
        <v>0</v>
      </c>
      <c r="J59" s="334" t="str">
        <f>IF(I59=0,"",I59/H59)</f>
        <v/>
      </c>
      <c r="K59" s="764"/>
    </row>
    <row r="60" spans="1:11" ht="12.75" customHeight="1">
      <c r="A60" s="40" t="s">
        <v>1230</v>
      </c>
      <c r="B60" s="170"/>
      <c r="C60" s="767"/>
      <c r="D60" s="390"/>
      <c r="E60" s="391"/>
      <c r="F60" s="391"/>
      <c r="G60" s="391"/>
      <c r="H60" s="391"/>
      <c r="I60" s="45">
        <f>G60-H60</f>
        <v>0</v>
      </c>
      <c r="J60" s="334" t="str">
        <f>IF(I60=0,"",I60/H60)</f>
        <v/>
      </c>
      <c r="K60" s="390"/>
    </row>
    <row r="61" spans="1:11" ht="12.75" customHeight="1">
      <c r="A61" s="40" t="s">
        <v>1231</v>
      </c>
      <c r="B61" s="170"/>
      <c r="C61" s="767"/>
      <c r="D61" s="764"/>
      <c r="E61" s="752"/>
      <c r="F61" s="752"/>
      <c r="G61" s="752"/>
      <c r="H61" s="752"/>
      <c r="I61" s="45">
        <f>G61-H61</f>
        <v>0</v>
      </c>
      <c r="J61" s="334" t="str">
        <f>IF(I61=0,"",I61/H61)</f>
        <v/>
      </c>
      <c r="K61" s="764"/>
    </row>
    <row r="62" spans="1:11" ht="12.75" customHeight="1">
      <c r="A62" s="40" t="s">
        <v>1232</v>
      </c>
      <c r="B62" s="170"/>
      <c r="C62" s="767"/>
      <c r="D62" s="764">
        <v>240000</v>
      </c>
      <c r="E62" s="752"/>
      <c r="F62" s="752">
        <v>0</v>
      </c>
      <c r="G62" s="752">
        <f>20000+10000+10000+10000+10000</f>
        <v>60000</v>
      </c>
      <c r="H62" s="752"/>
      <c r="I62" s="45">
        <f t="shared" si="10"/>
        <v>60000</v>
      </c>
      <c r="J62" s="334" t="e">
        <f t="shared" si="11"/>
        <v>#DIV/0!</v>
      </c>
      <c r="K62" s="764">
        <v>240000</v>
      </c>
    </row>
    <row r="63" spans="1:11" ht="12.75" customHeight="1">
      <c r="A63" s="40" t="s">
        <v>701</v>
      </c>
      <c r="B63" s="170"/>
      <c r="C63" s="767"/>
      <c r="D63" s="764"/>
      <c r="E63" s="752"/>
      <c r="F63" s="752"/>
      <c r="G63" s="752"/>
      <c r="H63" s="752"/>
      <c r="I63" s="45">
        <f>G63-H63</f>
        <v>0</v>
      </c>
      <c r="J63" s="334" t="str">
        <f>IF(I63=0,"",I63/H63)</f>
        <v/>
      </c>
      <c r="K63" s="764"/>
    </row>
    <row r="64" spans="1:11" ht="12.75" customHeight="1">
      <c r="A64" s="40" t="s">
        <v>1233</v>
      </c>
      <c r="B64" s="170"/>
      <c r="C64" s="767"/>
      <c r="D64" s="764"/>
      <c r="E64" s="752"/>
      <c r="F64" s="752"/>
      <c r="G64" s="752"/>
      <c r="H64" s="752"/>
      <c r="I64" s="45">
        <f t="shared" si="10"/>
        <v>0</v>
      </c>
      <c r="J64" s="334" t="str">
        <f t="shared" si="11"/>
        <v/>
      </c>
      <c r="K64" s="764"/>
    </row>
    <row r="65" spans="1:11" ht="12.75" customHeight="1">
      <c r="A65" s="40" t="s">
        <v>1234</v>
      </c>
      <c r="B65" s="170"/>
      <c r="C65" s="767"/>
      <c r="D65" s="764"/>
      <c r="E65" s="752"/>
      <c r="F65" s="752"/>
      <c r="G65" s="752"/>
      <c r="H65" s="752"/>
      <c r="I65" s="45">
        <f t="shared" si="10"/>
        <v>0</v>
      </c>
      <c r="J65" s="334" t="str">
        <f t="shared" si="11"/>
        <v/>
      </c>
      <c r="K65" s="764"/>
    </row>
    <row r="66" spans="1:11" ht="12.75" customHeight="1">
      <c r="A66" s="40" t="s">
        <v>1235</v>
      </c>
      <c r="B66" s="170"/>
      <c r="C66" s="767"/>
      <c r="D66" s="764"/>
      <c r="E66" s="752"/>
      <c r="F66" s="752"/>
      <c r="G66" s="752"/>
      <c r="H66" s="752"/>
      <c r="I66" s="45">
        <f t="shared" si="10"/>
        <v>0</v>
      </c>
      <c r="J66" s="334" t="str">
        <f t="shared" si="11"/>
        <v/>
      </c>
      <c r="K66" s="764"/>
    </row>
    <row r="67" spans="1:11" ht="12.75" customHeight="1">
      <c r="A67" s="88" t="s">
        <v>943</v>
      </c>
      <c r="B67" s="170">
        <v>2</v>
      </c>
      <c r="C67" s="523">
        <f t="shared" ref="C67:K67" si="12">SUM(C54:C66)</f>
        <v>0</v>
      </c>
      <c r="D67" s="482">
        <f t="shared" si="12"/>
        <v>240000</v>
      </c>
      <c r="E67" s="437">
        <f t="shared" si="12"/>
        <v>0</v>
      </c>
      <c r="F67" s="437">
        <f>SUM(F54:F66)</f>
        <v>0</v>
      </c>
      <c r="G67" s="437">
        <f>SUM(G54:G66)</f>
        <v>60000</v>
      </c>
      <c r="H67" s="437">
        <f>SUM(H54:H66)</f>
        <v>0</v>
      </c>
      <c r="I67" s="437">
        <f t="shared" si="10"/>
        <v>60000</v>
      </c>
      <c r="J67" s="438" t="e">
        <f>IF(I67=0,"",I67/H67)</f>
        <v>#DIV/0!</v>
      </c>
      <c r="K67" s="520">
        <f t="shared" si="12"/>
        <v>240000</v>
      </c>
    </row>
    <row r="68" spans="1:11" ht="12.75" customHeight="1">
      <c r="A68" s="578" t="s">
        <v>887</v>
      </c>
      <c r="B68" s="170">
        <v>4</v>
      </c>
      <c r="C68" s="174"/>
      <c r="D68" s="307" t="e">
        <f>IF(D67=0,"",(D67/C67)-1)</f>
        <v>#DIV/0!</v>
      </c>
      <c r="E68" s="307" t="str">
        <f>IF(E67=0,"",(E67/C67)-1)</f>
        <v/>
      </c>
      <c r="F68" s="307"/>
      <c r="G68" s="307"/>
      <c r="H68" s="307"/>
      <c r="I68" s="307"/>
      <c r="J68" s="348"/>
      <c r="K68" s="316" t="e">
        <f>IF(K67=0,"",(K67/C67)-1)</f>
        <v>#DIV/0!</v>
      </c>
    </row>
    <row r="69" spans="1:11" ht="5.0999999999999996" customHeight="1">
      <c r="A69" s="43"/>
      <c r="B69" s="170"/>
      <c r="C69" s="41"/>
      <c r="D69" s="105"/>
      <c r="E69" s="104"/>
      <c r="F69" s="104"/>
      <c r="G69" s="104"/>
      <c r="H69" s="104"/>
      <c r="I69" s="104"/>
      <c r="J69" s="334"/>
      <c r="K69" s="267"/>
    </row>
    <row r="70" spans="1:11" ht="12.75" customHeight="1">
      <c r="A70" s="579" t="s">
        <v>1007</v>
      </c>
      <c r="B70" s="170"/>
      <c r="C70" s="41"/>
      <c r="D70" s="105"/>
      <c r="E70" s="104"/>
      <c r="F70" s="104"/>
      <c r="G70" s="104"/>
      <c r="H70" s="104"/>
      <c r="I70" s="104"/>
      <c r="J70" s="334"/>
      <c r="K70" s="267"/>
    </row>
    <row r="71" spans="1:11" ht="12.75" customHeight="1">
      <c r="A71" s="525" t="s">
        <v>607</v>
      </c>
      <c r="B71" s="170"/>
      <c r="C71" s="767"/>
      <c r="D71" s="390">
        <v>3332748.96</v>
      </c>
      <c r="E71" s="391"/>
      <c r="F71" s="391">
        <v>266000</v>
      </c>
      <c r="G71" s="391">
        <f>277729.08+280000+265000+265000+265000+265000+266000</f>
        <v>1883729.08</v>
      </c>
      <c r="H71" s="391"/>
      <c r="I71" s="45">
        <f t="shared" ref="I71:I83" si="13">G71-H71</f>
        <v>1883729.08</v>
      </c>
      <c r="J71" s="334" t="e">
        <f t="shared" ref="J71:J82" si="14">IF(I71=0,"",I71/H71)</f>
        <v>#DIV/0!</v>
      </c>
      <c r="K71" s="390">
        <v>3332748.96</v>
      </c>
    </row>
    <row r="72" spans="1:11" ht="12.75" customHeight="1">
      <c r="A72" s="525" t="s">
        <v>1228</v>
      </c>
      <c r="B72" s="170"/>
      <c r="C72" s="767"/>
      <c r="D72" s="390">
        <v>210583.67999999999</v>
      </c>
      <c r="E72" s="391"/>
      <c r="F72" s="391">
        <v>45000</v>
      </c>
      <c r="G72" s="391">
        <f>17110.82+45000+45000+45000+45000+45000+45000</f>
        <v>287110.82</v>
      </c>
      <c r="H72" s="391"/>
      <c r="I72" s="45">
        <f t="shared" si="13"/>
        <v>287110.82</v>
      </c>
      <c r="J72" s="334" t="e">
        <f t="shared" si="14"/>
        <v>#DIV/0!</v>
      </c>
      <c r="K72" s="390">
        <v>210583.67999999999</v>
      </c>
    </row>
    <row r="73" spans="1:11" ht="12.75" customHeight="1">
      <c r="A73" s="525" t="s">
        <v>535</v>
      </c>
      <c r="B73" s="170"/>
      <c r="C73" s="767"/>
      <c r="D73" s="390">
        <v>104760</v>
      </c>
      <c r="E73" s="391"/>
      <c r="F73" s="391">
        <v>12000</v>
      </c>
      <c r="G73" s="391">
        <f>8730+11000+11000+11000+11000+11000+12000</f>
        <v>75730</v>
      </c>
      <c r="H73" s="391"/>
      <c r="I73" s="45">
        <f t="shared" si="13"/>
        <v>75730</v>
      </c>
      <c r="J73" s="334" t="e">
        <f t="shared" si="14"/>
        <v>#DIV/0!</v>
      </c>
      <c r="K73" s="390">
        <v>104760</v>
      </c>
    </row>
    <row r="74" spans="1:11" ht="12.75" customHeight="1">
      <c r="A74" s="525" t="s">
        <v>680</v>
      </c>
      <c r="B74" s="170"/>
      <c r="C74" s="767"/>
      <c r="D74" s="764"/>
      <c r="E74" s="752"/>
      <c r="F74" s="752"/>
      <c r="G74" s="752"/>
      <c r="H74" s="752"/>
      <c r="I74" s="45">
        <f t="shared" si="13"/>
        <v>0</v>
      </c>
      <c r="J74" s="334" t="str">
        <f t="shared" si="14"/>
        <v/>
      </c>
      <c r="K74" s="764"/>
    </row>
    <row r="75" spans="1:11" ht="12.75" customHeight="1">
      <c r="A75" s="525" t="s">
        <v>537</v>
      </c>
      <c r="B75" s="170"/>
      <c r="C75" s="767"/>
      <c r="D75" s="764"/>
      <c r="E75" s="752"/>
      <c r="F75" s="752"/>
      <c r="G75" s="752"/>
      <c r="H75" s="752"/>
      <c r="I75" s="45">
        <f>G75-H75</f>
        <v>0</v>
      </c>
      <c r="J75" s="334" t="str">
        <f>IF(I75=0,"",I75/H75)</f>
        <v/>
      </c>
      <c r="K75" s="764"/>
    </row>
    <row r="76" spans="1:11" ht="12.75" customHeight="1">
      <c r="A76" s="525" t="s">
        <v>1229</v>
      </c>
      <c r="B76" s="170"/>
      <c r="C76" s="767"/>
      <c r="D76" s="390">
        <v>717251.04</v>
      </c>
      <c r="E76" s="391"/>
      <c r="F76" s="391">
        <v>63000</v>
      </c>
      <c r="G76" s="391">
        <f>67502.92+63000+63000+63000+63000+63000+63000</f>
        <v>445502.92</v>
      </c>
      <c r="H76" s="391"/>
      <c r="I76" s="45">
        <f>G76-H76</f>
        <v>445502.92</v>
      </c>
      <c r="J76" s="334" t="e">
        <f>IF(I76=0,"",I76/H76)</f>
        <v>#DIV/0!</v>
      </c>
      <c r="K76" s="390">
        <v>717251.04</v>
      </c>
    </row>
    <row r="77" spans="1:11" ht="12.75" customHeight="1">
      <c r="A77" s="525" t="s">
        <v>1230</v>
      </c>
      <c r="B77" s="170"/>
      <c r="C77" s="767"/>
      <c r="D77" s="764"/>
      <c r="E77" s="752"/>
      <c r="F77" s="752"/>
      <c r="G77" s="752"/>
      <c r="H77" s="752"/>
      <c r="I77" s="45">
        <f>G77-H77</f>
        <v>0</v>
      </c>
      <c r="J77" s="334" t="str">
        <f>IF(I77=0,"",I77/H77)</f>
        <v/>
      </c>
      <c r="K77" s="764"/>
    </row>
    <row r="78" spans="1:11" ht="12.75" customHeight="1">
      <c r="A78" s="525" t="s">
        <v>1231</v>
      </c>
      <c r="B78" s="170"/>
      <c r="C78" s="767"/>
      <c r="D78" s="764"/>
      <c r="E78" s="752"/>
      <c r="F78" s="752"/>
      <c r="G78" s="752"/>
      <c r="H78" s="752"/>
      <c r="I78" s="45">
        <f>G78-H78</f>
        <v>0</v>
      </c>
      <c r="J78" s="334" t="str">
        <f>IF(I78=0,"",I78/H78)</f>
        <v/>
      </c>
      <c r="K78" s="764"/>
    </row>
    <row r="79" spans="1:11" ht="12.75" customHeight="1">
      <c r="A79" s="525" t="s">
        <v>1232</v>
      </c>
      <c r="B79" s="170"/>
      <c r="C79" s="767"/>
      <c r="D79" s="764">
        <v>851040</v>
      </c>
      <c r="E79" s="752"/>
      <c r="F79" s="752">
        <v>39000</v>
      </c>
      <c r="G79" s="752">
        <f>70920+8000+51000+51000+51000+51000+39000</f>
        <v>321920</v>
      </c>
      <c r="H79" s="752"/>
      <c r="I79" s="45">
        <f t="shared" si="13"/>
        <v>321920</v>
      </c>
      <c r="J79" s="334" t="e">
        <f t="shared" si="14"/>
        <v>#DIV/0!</v>
      </c>
      <c r="K79" s="764">
        <v>851040</v>
      </c>
    </row>
    <row r="80" spans="1:11" ht="12.75" customHeight="1">
      <c r="A80" s="525" t="s">
        <v>1233</v>
      </c>
      <c r="B80" s="170"/>
      <c r="C80" s="767"/>
      <c r="D80" s="764"/>
      <c r="E80" s="752"/>
      <c r="F80" s="752"/>
      <c r="G80" s="752"/>
      <c r="H80" s="752"/>
      <c r="I80" s="45">
        <f t="shared" si="13"/>
        <v>0</v>
      </c>
      <c r="J80" s="334" t="str">
        <f t="shared" si="14"/>
        <v/>
      </c>
      <c r="K80" s="764"/>
    </row>
    <row r="81" spans="1:11" ht="12.75" customHeight="1">
      <c r="A81" s="525" t="s">
        <v>1234</v>
      </c>
      <c r="B81" s="170"/>
      <c r="C81" s="767"/>
      <c r="D81" s="764"/>
      <c r="E81" s="752"/>
      <c r="F81" s="752"/>
      <c r="G81" s="752"/>
      <c r="H81" s="752"/>
      <c r="I81" s="45">
        <f t="shared" si="13"/>
        <v>0</v>
      </c>
      <c r="J81" s="334" t="str">
        <f t="shared" si="14"/>
        <v/>
      </c>
      <c r="K81" s="764"/>
    </row>
    <row r="82" spans="1:11" ht="12.75" customHeight="1">
      <c r="A82" s="525" t="s">
        <v>1235</v>
      </c>
      <c r="B82" s="170">
        <v>2</v>
      </c>
      <c r="C82" s="767"/>
      <c r="D82" s="764"/>
      <c r="E82" s="752"/>
      <c r="F82" s="752"/>
      <c r="G82" s="752"/>
      <c r="H82" s="752"/>
      <c r="I82" s="45">
        <f t="shared" si="13"/>
        <v>0</v>
      </c>
      <c r="J82" s="334" t="str">
        <f t="shared" si="14"/>
        <v/>
      </c>
      <c r="K82" s="764"/>
    </row>
    <row r="83" spans="1:11" ht="12.75" customHeight="1">
      <c r="A83" s="88" t="s">
        <v>1008</v>
      </c>
      <c r="B83" s="170"/>
      <c r="C83" s="523">
        <f t="shared" ref="C83:K83" si="15">SUM(C71:C82)</f>
        <v>0</v>
      </c>
      <c r="D83" s="482">
        <f t="shared" si="15"/>
        <v>5216383.68</v>
      </c>
      <c r="E83" s="437">
        <f t="shared" si="15"/>
        <v>0</v>
      </c>
      <c r="F83" s="437">
        <f>SUM(F71:F82)</f>
        <v>425000</v>
      </c>
      <c r="G83" s="437">
        <f>SUM(G71:G82)</f>
        <v>3013992.82</v>
      </c>
      <c r="H83" s="437">
        <f>SUM(H71:H82)</f>
        <v>0</v>
      </c>
      <c r="I83" s="437">
        <f t="shared" si="13"/>
        <v>3013992.82</v>
      </c>
      <c r="J83" s="438" t="e">
        <f>IF(I83=0,"",I83/H83)</f>
        <v>#DIV/0!</v>
      </c>
      <c r="K83" s="520">
        <f t="shared" si="15"/>
        <v>5216383.68</v>
      </c>
    </row>
    <row r="84" spans="1:11" ht="12.75" customHeight="1">
      <c r="A84" s="578" t="s">
        <v>887</v>
      </c>
      <c r="B84" s="170">
        <v>4</v>
      </c>
      <c r="C84" s="174"/>
      <c r="D84" s="307" t="e">
        <f>IF(D83=0,"",(D83/C83)-1)</f>
        <v>#DIV/0!</v>
      </c>
      <c r="E84" s="307" t="str">
        <f>IF(E83=0,"",(E83/C83)-1)</f>
        <v/>
      </c>
      <c r="F84" s="307"/>
      <c r="G84" s="307"/>
      <c r="H84" s="307"/>
      <c r="I84" s="307"/>
      <c r="J84" s="348"/>
      <c r="K84" s="316" t="e">
        <f>IF(K83=0,"",(K83/C83)-1)</f>
        <v>#DIV/0!</v>
      </c>
    </row>
    <row r="85" spans="1:11" ht="5.0999999999999996" customHeight="1">
      <c r="A85" s="43"/>
      <c r="B85" s="170"/>
      <c r="C85" s="41"/>
      <c r="D85" s="105"/>
      <c r="E85" s="104"/>
      <c r="F85" s="104"/>
      <c r="G85" s="104"/>
      <c r="H85" s="104"/>
      <c r="I85" s="104"/>
      <c r="J85" s="334"/>
      <c r="K85" s="267"/>
    </row>
    <row r="86" spans="1:11" ht="12.75" customHeight="1">
      <c r="A86" s="579" t="s">
        <v>882</v>
      </c>
      <c r="B86" s="170"/>
      <c r="C86" s="41"/>
      <c r="D86" s="105"/>
      <c r="E86" s="104"/>
      <c r="F86" s="104"/>
      <c r="G86" s="104"/>
      <c r="H86" s="104"/>
      <c r="I86" s="104"/>
      <c r="J86" s="334"/>
      <c r="K86" s="267"/>
    </row>
    <row r="87" spans="1:11" ht="12.75" customHeight="1">
      <c r="A87" s="525" t="s">
        <v>607</v>
      </c>
      <c r="B87" s="170"/>
      <c r="C87" s="767"/>
      <c r="D87" s="390">
        <f>36870471.04+10185000</f>
        <v>47055471.039999999</v>
      </c>
      <c r="E87" s="391"/>
      <c r="F87" s="391">
        <v>2835000</v>
      </c>
      <c r="G87" s="391">
        <f>2189894.21+547005+2790000+2836000-9000+2827000-3243+2917000+2770000+2835000</f>
        <v>19699656.210000001</v>
      </c>
      <c r="H87" s="391"/>
      <c r="I87" s="45">
        <f t="shared" ref="I87:I99" si="16">G87-H87</f>
        <v>19699656.210000001</v>
      </c>
      <c r="J87" s="334" t="e">
        <f t="shared" ref="J87:J98" si="17">IF(I87=0,"",I87/H87)</f>
        <v>#DIV/0!</v>
      </c>
      <c r="K87" s="390">
        <f>36870471.04+10185000</f>
        <v>47055471.039999999</v>
      </c>
    </row>
    <row r="88" spans="1:11" ht="12.75" customHeight="1">
      <c r="A88" s="525" t="s">
        <v>1228</v>
      </c>
      <c r="B88" s="170"/>
      <c r="C88" s="767"/>
      <c r="D88" s="390">
        <v>7010416.3200000003</v>
      </c>
      <c r="E88" s="391"/>
      <c r="F88" s="391">
        <v>470000</v>
      </c>
      <c r="G88" s="391">
        <f>424810.64+480000+476000+476000+476000+476000+470000</f>
        <v>3278810.64</v>
      </c>
      <c r="H88" s="391"/>
      <c r="I88" s="45">
        <f t="shared" si="16"/>
        <v>3278810.64</v>
      </c>
      <c r="J88" s="334" t="e">
        <f t="shared" si="17"/>
        <v>#DIV/0!</v>
      </c>
      <c r="K88" s="390">
        <v>7010416.3200000003</v>
      </c>
    </row>
    <row r="89" spans="1:11" ht="12.75" customHeight="1">
      <c r="A89" s="525" t="s">
        <v>535</v>
      </c>
      <c r="B89" s="170"/>
      <c r="C89" s="767"/>
      <c r="D89" s="390">
        <v>2772698</v>
      </c>
      <c r="E89" s="391"/>
      <c r="F89" s="391">
        <v>244000</v>
      </c>
      <c r="G89" s="391">
        <f>209677.88+232000+227000+227000+227000+227000+244000</f>
        <v>1593677.88</v>
      </c>
      <c r="H89" s="391"/>
      <c r="I89" s="45">
        <f>G89-H89</f>
        <v>1593677.88</v>
      </c>
      <c r="J89" s="334" t="e">
        <f>IF(I89=0,"",I89/H89)</f>
        <v>#DIV/0!</v>
      </c>
      <c r="K89" s="390">
        <v>2772698</v>
      </c>
    </row>
    <row r="90" spans="1:11" ht="12.75" customHeight="1">
      <c r="A90" s="525" t="s">
        <v>680</v>
      </c>
      <c r="B90" s="170"/>
      <c r="C90" s="767"/>
      <c r="D90" s="390">
        <v>3655000</v>
      </c>
      <c r="E90" s="391"/>
      <c r="F90" s="391">
        <v>670000</v>
      </c>
      <c r="G90" s="391">
        <f>379164.56+521000+467000+467000+467000+467000+670000</f>
        <v>3438164.56</v>
      </c>
      <c r="H90" s="391"/>
      <c r="I90" s="45">
        <f>G90-H90</f>
        <v>3438164.56</v>
      </c>
      <c r="J90" s="334" t="e">
        <f>IF(I90=0,"",I90/H90)</f>
        <v>#DIV/0!</v>
      </c>
      <c r="K90" s="390">
        <v>3655000</v>
      </c>
    </row>
    <row r="91" spans="1:11" ht="12.75" customHeight="1">
      <c r="A91" s="525" t="s">
        <v>537</v>
      </c>
      <c r="B91" s="170"/>
      <c r="C91" s="767"/>
      <c r="D91" s="390"/>
      <c r="E91" s="391"/>
      <c r="F91" s="391"/>
      <c r="G91" s="391"/>
      <c r="H91" s="391"/>
      <c r="I91" s="45">
        <f>G91-H91</f>
        <v>0</v>
      </c>
      <c r="J91" s="334" t="str">
        <f>IF(I91=0,"",I91/H91)</f>
        <v/>
      </c>
      <c r="K91" s="390"/>
    </row>
    <row r="92" spans="1:11" ht="12.75" customHeight="1">
      <c r="A92" s="525" t="s">
        <v>1229</v>
      </c>
      <c r="B92" s="170"/>
      <c r="C92" s="767"/>
      <c r="D92" s="390">
        <v>2679748.96</v>
      </c>
      <c r="E92" s="391"/>
      <c r="F92" s="391">
        <v>131000</v>
      </c>
      <c r="G92" s="391">
        <f>284052.71+300000+327000+327000+327000+327000+131000</f>
        <v>2023052.71</v>
      </c>
      <c r="H92" s="391"/>
      <c r="I92" s="45">
        <f>G92-H92</f>
        <v>2023052.71</v>
      </c>
      <c r="J92" s="334" t="e">
        <f>IF(I92=0,"",I92/H92)</f>
        <v>#DIV/0!</v>
      </c>
      <c r="K92" s="390">
        <v>2679748.96</v>
      </c>
    </row>
    <row r="93" spans="1:11" ht="12.75" customHeight="1">
      <c r="A93" s="525" t="s">
        <v>1230</v>
      </c>
      <c r="B93" s="170"/>
      <c r="C93" s="767"/>
      <c r="D93" s="764"/>
      <c r="E93" s="752"/>
      <c r="F93" s="752"/>
      <c r="G93" s="752"/>
      <c r="H93" s="752"/>
      <c r="I93" s="45">
        <f t="shared" si="16"/>
        <v>0</v>
      </c>
      <c r="J93" s="334" t="str">
        <f t="shared" si="17"/>
        <v/>
      </c>
      <c r="K93" s="764"/>
    </row>
    <row r="94" spans="1:11" ht="12.75" customHeight="1">
      <c r="A94" s="525" t="s">
        <v>1231</v>
      </c>
      <c r="B94" s="170"/>
      <c r="C94" s="767"/>
      <c r="D94" s="390"/>
      <c r="E94" s="391"/>
      <c r="F94" s="391"/>
      <c r="G94" s="391"/>
      <c r="H94" s="391"/>
      <c r="I94" s="45">
        <f t="shared" si="16"/>
        <v>0</v>
      </c>
      <c r="J94" s="334" t="str">
        <f t="shared" si="17"/>
        <v/>
      </c>
      <c r="K94" s="390"/>
    </row>
    <row r="95" spans="1:11" ht="12.75" customHeight="1">
      <c r="A95" s="525" t="s">
        <v>1232</v>
      </c>
      <c r="B95" s="170"/>
      <c r="C95" s="767"/>
      <c r="D95" s="390">
        <v>4570282</v>
      </c>
      <c r="E95" s="391"/>
      <c r="F95" s="391">
        <v>299000</v>
      </c>
      <c r="G95" s="391">
        <f>250580.92+1395000+298000+298000+298000+298000+299000</f>
        <v>3136580.92</v>
      </c>
      <c r="H95" s="391"/>
      <c r="I95" s="45">
        <f t="shared" si="16"/>
        <v>3136580.92</v>
      </c>
      <c r="J95" s="334" t="e">
        <f t="shared" si="17"/>
        <v>#DIV/0!</v>
      </c>
      <c r="K95" s="390">
        <v>4570282</v>
      </c>
    </row>
    <row r="96" spans="1:11" ht="12.75" customHeight="1">
      <c r="A96" s="525" t="s">
        <v>1233</v>
      </c>
      <c r="B96" s="170"/>
      <c r="C96" s="767"/>
      <c r="D96" s="764"/>
      <c r="E96" s="752"/>
      <c r="F96" s="752"/>
      <c r="G96" s="752"/>
      <c r="H96" s="752"/>
      <c r="I96" s="45">
        <f t="shared" si="16"/>
        <v>0</v>
      </c>
      <c r="J96" s="334" t="str">
        <f t="shared" si="17"/>
        <v/>
      </c>
      <c r="K96" s="764"/>
    </row>
    <row r="97" spans="1:14" ht="12.75" customHeight="1">
      <c r="A97" s="525" t="s">
        <v>1234</v>
      </c>
      <c r="B97" s="170"/>
      <c r="C97" s="767"/>
      <c r="D97" s="764"/>
      <c r="E97" s="752"/>
      <c r="F97" s="752"/>
      <c r="G97" s="752"/>
      <c r="H97" s="752"/>
      <c r="I97" s="45">
        <f t="shared" si="16"/>
        <v>0</v>
      </c>
      <c r="J97" s="334" t="str">
        <f t="shared" si="17"/>
        <v/>
      </c>
      <c r="K97" s="764"/>
    </row>
    <row r="98" spans="1:14" ht="12.75" customHeight="1">
      <c r="A98" s="525" t="s">
        <v>1235</v>
      </c>
      <c r="B98" s="170"/>
      <c r="C98" s="767"/>
      <c r="D98" s="764"/>
      <c r="E98" s="752"/>
      <c r="F98" s="752"/>
      <c r="G98" s="752"/>
      <c r="H98" s="752"/>
      <c r="I98" s="45">
        <f t="shared" si="16"/>
        <v>0</v>
      </c>
      <c r="J98" s="334" t="str">
        <f t="shared" si="17"/>
        <v/>
      </c>
      <c r="K98" s="764"/>
    </row>
    <row r="99" spans="1:14" ht="12.75" customHeight="1">
      <c r="A99" s="88" t="s">
        <v>638</v>
      </c>
      <c r="B99" s="170"/>
      <c r="C99" s="523">
        <f t="shared" ref="C99:H99" si="18">SUM(C87:C98)</f>
        <v>0</v>
      </c>
      <c r="D99" s="482">
        <f t="shared" si="18"/>
        <v>67743616.319999993</v>
      </c>
      <c r="E99" s="437">
        <f t="shared" si="18"/>
        <v>0</v>
      </c>
      <c r="F99" s="437">
        <f t="shared" si="18"/>
        <v>4649000</v>
      </c>
      <c r="G99" s="437">
        <f t="shared" si="18"/>
        <v>33169942.920000002</v>
      </c>
      <c r="H99" s="437">
        <f t="shared" si="18"/>
        <v>0</v>
      </c>
      <c r="I99" s="437">
        <f t="shared" si="16"/>
        <v>33169942.920000002</v>
      </c>
      <c r="J99" s="438" t="e">
        <f>IF(I99=0,"",I99/H99)</f>
        <v>#DIV/0!</v>
      </c>
      <c r="K99" s="520">
        <f>SUM(K87:K98)</f>
        <v>67743616.319999993</v>
      </c>
    </row>
    <row r="100" spans="1:14" ht="12.75" customHeight="1">
      <c r="A100" s="578" t="s">
        <v>887</v>
      </c>
      <c r="B100" s="170">
        <v>4</v>
      </c>
      <c r="C100" s="406"/>
      <c r="D100" s="307" t="e">
        <f>IF(D99=0,"",(D99/C99)-1)</f>
        <v>#DIV/0!</v>
      </c>
      <c r="E100" s="307" t="str">
        <f>IF(E99=0,"",(E99/C99)-1)</f>
        <v/>
      </c>
      <c r="F100" s="307"/>
      <c r="G100" s="307"/>
      <c r="H100" s="307"/>
      <c r="I100" s="408"/>
      <c r="J100" s="410"/>
      <c r="K100" s="316" t="e">
        <f>IF(K99=0,"",(K99/C99)-1)</f>
        <v>#DIV/0!</v>
      </c>
    </row>
    <row r="101" spans="1:14" ht="5.0999999999999996" customHeight="1">
      <c r="A101" s="567"/>
      <c r="B101" s="249"/>
      <c r="C101" s="41"/>
      <c r="D101" s="105"/>
      <c r="E101" s="104"/>
      <c r="F101" s="104"/>
      <c r="G101" s="104"/>
      <c r="H101" s="104"/>
      <c r="I101" s="104"/>
      <c r="J101" s="334"/>
      <c r="K101" s="267"/>
    </row>
    <row r="102" spans="1:14" ht="12.75" customHeight="1">
      <c r="A102" s="88" t="s">
        <v>562</v>
      </c>
      <c r="B102" s="170"/>
      <c r="C102" s="523">
        <f t="shared" ref="C102:H102" si="19">C67+C83+C99</f>
        <v>0</v>
      </c>
      <c r="D102" s="482">
        <f t="shared" si="19"/>
        <v>73200000</v>
      </c>
      <c r="E102" s="437">
        <f t="shared" si="19"/>
        <v>0</v>
      </c>
      <c r="F102" s="437">
        <f t="shared" si="19"/>
        <v>5074000</v>
      </c>
      <c r="G102" s="437">
        <f t="shared" si="19"/>
        <v>36243935.740000002</v>
      </c>
      <c r="H102" s="437">
        <f t="shared" si="19"/>
        <v>0</v>
      </c>
      <c r="I102" s="437">
        <f>G102-H102</f>
        <v>36243935.740000002</v>
      </c>
      <c r="J102" s="438" t="e">
        <f>IF(I102=0,"",I102/H102)</f>
        <v>#DIV/0!</v>
      </c>
      <c r="K102" s="520">
        <f>K67+K83+K99</f>
        <v>73200000</v>
      </c>
    </row>
    <row r="103" spans="1:14" ht="5.0999999999999996" customHeight="1">
      <c r="A103" s="43"/>
      <c r="B103" s="170"/>
      <c r="C103" s="135"/>
      <c r="D103" s="105"/>
      <c r="E103" s="104"/>
      <c r="F103" s="104"/>
      <c r="G103" s="104"/>
      <c r="H103" s="104"/>
      <c r="I103" s="104"/>
      <c r="J103" s="334"/>
      <c r="K103" s="267"/>
    </row>
    <row r="104" spans="1:14" ht="12.75" customHeight="1">
      <c r="A104" s="581" t="s">
        <v>1165</v>
      </c>
      <c r="B104" s="237"/>
      <c r="C104" s="113">
        <f t="shared" ref="C104:H104" si="20">C49+C102</f>
        <v>0</v>
      </c>
      <c r="D104" s="57">
        <f t="shared" si="20"/>
        <v>299173388</v>
      </c>
      <c r="E104" s="56">
        <f t="shared" si="20"/>
        <v>0</v>
      </c>
      <c r="F104" s="56">
        <f t="shared" si="20"/>
        <v>22886426.729999997</v>
      </c>
      <c r="G104" s="56">
        <f t="shared" si="20"/>
        <v>155381272.78</v>
      </c>
      <c r="H104" s="56">
        <f t="shared" si="20"/>
        <v>225973388</v>
      </c>
      <c r="I104" s="56">
        <f>G104-H104</f>
        <v>-70592115.219999999</v>
      </c>
      <c r="J104" s="336">
        <f>IF(I104=0,"",I104/H104)</f>
        <v>-0.31239127688787849</v>
      </c>
      <c r="K104" s="236">
        <f>K49+K102</f>
        <v>299173388</v>
      </c>
    </row>
    <row r="105" spans="1:14" ht="12.75" customHeight="1">
      <c r="A105" s="578" t="s">
        <v>887</v>
      </c>
      <c r="B105" s="170">
        <v>4</v>
      </c>
      <c r="C105" s="406"/>
      <c r="D105" s="307" t="e">
        <f>IF(D104=0,"",(D104/C104)-1)</f>
        <v>#DIV/0!</v>
      </c>
      <c r="E105" s="307" t="str">
        <f>IF(E104=0,"",(E104/C104)-1)</f>
        <v/>
      </c>
      <c r="F105" s="307"/>
      <c r="G105" s="307"/>
      <c r="H105" s="307"/>
      <c r="I105" s="408"/>
      <c r="J105" s="410"/>
      <c r="K105" s="316" t="e">
        <f>IF(K104=0,"",(K104/C104)-1)</f>
        <v>#DIV/0!</v>
      </c>
      <c r="L105" s="68"/>
      <c r="M105" s="68"/>
      <c r="N105" s="68"/>
    </row>
    <row r="106" spans="1:14" ht="12.75" customHeight="1">
      <c r="A106" s="580" t="s">
        <v>149</v>
      </c>
      <c r="B106" s="237"/>
      <c r="C106" s="113">
        <f t="shared" ref="C106:I106" si="21">C30+C46+C83+C99</f>
        <v>0</v>
      </c>
      <c r="D106" s="57">
        <f t="shared" si="21"/>
        <v>274859679</v>
      </c>
      <c r="E106" s="56">
        <f t="shared" si="21"/>
        <v>0</v>
      </c>
      <c r="F106" s="56">
        <f t="shared" si="21"/>
        <v>21277252.669999998</v>
      </c>
      <c r="G106" s="56">
        <f t="shared" si="21"/>
        <v>144808835.50999999</v>
      </c>
      <c r="H106" s="56">
        <f t="shared" si="21"/>
        <v>201899679</v>
      </c>
      <c r="I106" s="56">
        <f t="shared" si="21"/>
        <v>-57090843.49000001</v>
      </c>
      <c r="J106" s="906">
        <f>IF(I106=0,"",I106/H106)</f>
        <v>-0.28276837176150244</v>
      </c>
      <c r="K106" s="236">
        <f>K30+K46+K83+K99</f>
        <v>274859679</v>
      </c>
      <c r="L106" s="68"/>
      <c r="M106" s="68"/>
      <c r="N106" s="68"/>
    </row>
    <row r="107" spans="1:14" ht="12.75" customHeight="1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>
      <c r="A108" s="81" t="s">
        <v>571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>
      <c r="A109" s="81" t="s">
        <v>950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>
      <c r="A110" s="122" t="s">
        <v>572</v>
      </c>
    </row>
    <row r="111" spans="1:14" ht="12.75" customHeight="1">
      <c r="A111" s="122" t="s">
        <v>573</v>
      </c>
    </row>
    <row r="112" spans="1:14" ht="12.75" customHeight="1">
      <c r="A112" s="96" t="s">
        <v>757</v>
      </c>
    </row>
    <row r="113" spans="1:2" ht="12.75" customHeight="1">
      <c r="A113" s="122" t="s">
        <v>1004</v>
      </c>
    </row>
    <row r="114" spans="1:2" ht="12.75" customHeight="1">
      <c r="A114" s="122" t="s">
        <v>1005</v>
      </c>
    </row>
    <row r="115" spans="1:2" ht="12.75" customHeight="1">
      <c r="A115" s="122" t="s">
        <v>926</v>
      </c>
    </row>
    <row r="116" spans="1:2" ht="12.75" customHeight="1">
      <c r="A116" s="122" t="s">
        <v>927</v>
      </c>
    </row>
    <row r="121" spans="1:2">
      <c r="B121" s="25"/>
    </row>
    <row r="122" spans="1:2">
      <c r="B122" s="25"/>
    </row>
    <row r="123" spans="1:2">
      <c r="B123" s="25"/>
    </row>
    <row r="124" spans="1:2">
      <c r="B124" s="25"/>
    </row>
    <row r="125" spans="1:2">
      <c r="B125" s="25"/>
    </row>
    <row r="126" spans="1:2">
      <c r="B126" s="25"/>
    </row>
    <row r="127" spans="1:2">
      <c r="B127" s="25"/>
    </row>
    <row r="128" spans="1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3" right="0.16" top="0.61" bottom="0.61" header="0.511811023622047" footer="0.41"/>
  <pageSetup paperSize="9" scale="66" orientation="landscape" r:id="rId1"/>
  <headerFooter alignWithMargins="0"/>
  <rowBreaks count="1" manualBreakCount="1">
    <brk id="51" max="10" man="1"/>
  </rowBreaks>
  <ignoredErrors>
    <ignoredError sqref="J106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23" activePane="bottomRight" state="frozen"/>
      <selection activeCell="B2" sqref="B2"/>
      <selection pane="topRight" activeCell="B2" sqref="B2"/>
      <selection pane="bottomLeft" activeCell="B2" sqref="B2"/>
      <selection pane="bottomRight" activeCell="I47" sqref="I47"/>
    </sheetView>
  </sheetViews>
  <sheetFormatPr defaultRowHeight="12.7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>
      <c r="A1" s="163" t="str">
        <f>muni&amp; " - "&amp;S71O&amp; " - "&amp;Head57</f>
        <v>FS194 Maluti-a-Phofung - Supporting Table SC9 Monthly Budget Statement - actuals and revised targets for cash receipts - M07 January</v>
      </c>
      <c r="B1" s="69"/>
    </row>
    <row r="2" spans="1:17" ht="25.5" customHeight="1">
      <c r="A2" s="983" t="str">
        <f>desc</f>
        <v>Description</v>
      </c>
      <c r="B2" s="976" t="str">
        <f>head27</f>
        <v>Ref</v>
      </c>
      <c r="C2" s="978" t="str">
        <f>Head2</f>
        <v>Budget Year 2013/14</v>
      </c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1026"/>
      <c r="O2" s="978" t="str">
        <f>'Template names'!B5</f>
        <v>2013/14 Medium Term Revenue &amp; Expenditure Framework</v>
      </c>
      <c r="P2" s="979"/>
      <c r="Q2" s="980"/>
    </row>
    <row r="3" spans="1:17" ht="12.75" customHeight="1">
      <c r="A3" s="984"/>
      <c r="B3" s="987"/>
      <c r="C3" s="144" t="s">
        <v>958</v>
      </c>
      <c r="D3" s="27" t="s">
        <v>1095</v>
      </c>
      <c r="E3" s="27" t="s">
        <v>3</v>
      </c>
      <c r="F3" s="27" t="s">
        <v>1096</v>
      </c>
      <c r="G3" s="27" t="s">
        <v>4</v>
      </c>
      <c r="H3" s="27" t="s">
        <v>5</v>
      </c>
      <c r="I3" s="27" t="s">
        <v>1099</v>
      </c>
      <c r="J3" s="27" t="s">
        <v>6</v>
      </c>
      <c r="K3" s="27" t="s">
        <v>1101</v>
      </c>
      <c r="L3" s="27" t="s">
        <v>1102</v>
      </c>
      <c r="M3" s="27" t="s">
        <v>1103</v>
      </c>
      <c r="N3" s="164" t="s">
        <v>1104</v>
      </c>
      <c r="O3" s="1024" t="str">
        <f>Head9</f>
        <v>Budget Year 2013/14</v>
      </c>
      <c r="P3" s="1020" t="str">
        <f>Head10</f>
        <v>Budget Year +1 2014/15</v>
      </c>
      <c r="Q3" s="1022" t="str">
        <f>Head11</f>
        <v>Budget Year +2 2015/16</v>
      </c>
    </row>
    <row r="4" spans="1:17" ht="13.5" customHeight="1">
      <c r="A4" s="295" t="s">
        <v>821</v>
      </c>
      <c r="B4" s="249">
        <v>1</v>
      </c>
      <c r="C4" s="800" t="s">
        <v>691</v>
      </c>
      <c r="D4" s="801" t="s">
        <v>691</v>
      </c>
      <c r="E4" s="801" t="s">
        <v>691</v>
      </c>
      <c r="F4" s="801" t="s">
        <v>691</v>
      </c>
      <c r="G4" s="801" t="s">
        <v>691</v>
      </c>
      <c r="H4" s="801" t="s">
        <v>691</v>
      </c>
      <c r="I4" s="801" t="s">
        <v>56</v>
      </c>
      <c r="J4" s="801" t="s">
        <v>56</v>
      </c>
      <c r="K4" s="801" t="s">
        <v>56</v>
      </c>
      <c r="L4" s="801" t="s">
        <v>56</v>
      </c>
      <c r="M4" s="801" t="s">
        <v>56</v>
      </c>
      <c r="N4" s="802" t="s">
        <v>56</v>
      </c>
      <c r="O4" s="1025"/>
      <c r="P4" s="1021"/>
      <c r="Q4" s="1023"/>
    </row>
    <row r="5" spans="1:17" ht="12.75" customHeight="1">
      <c r="A5" s="36" t="s">
        <v>1124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20"/>
      <c r="O5" s="238"/>
      <c r="P5" s="239"/>
      <c r="Q5" s="287"/>
    </row>
    <row r="6" spans="1:17" ht="12.75" customHeight="1">
      <c r="A6" s="40" t="s">
        <v>1123</v>
      </c>
      <c r="B6" s="41"/>
      <c r="C6" s="772">
        <v>1514831.63</v>
      </c>
      <c r="D6" s="391">
        <v>6421597.6299999999</v>
      </c>
      <c r="E6" s="391">
        <v>1271846.56</v>
      </c>
      <c r="F6" s="391">
        <v>24436998.32</v>
      </c>
      <c r="G6" s="391">
        <v>5326480.1900000004</v>
      </c>
      <c r="H6" s="391">
        <v>1238839.1599999999</v>
      </c>
      <c r="I6" s="391">
        <v>26570074.460000001</v>
      </c>
      <c r="J6" s="391">
        <v>4670000</v>
      </c>
      <c r="K6" s="391">
        <v>38467000</v>
      </c>
      <c r="L6" s="391">
        <v>4670000</v>
      </c>
      <c r="M6" s="391">
        <v>4670000</v>
      </c>
      <c r="N6" s="109">
        <f t="shared" ref="N6:N21" si="0">O6-SUM(C6:M6)</f>
        <v>85051240.090000004</v>
      </c>
      <c r="O6" s="390">
        <v>204308908.03999999</v>
      </c>
      <c r="P6" s="391">
        <v>214424353.44</v>
      </c>
      <c r="Q6" s="754">
        <v>225045571.11000001</v>
      </c>
    </row>
    <row r="7" spans="1:17" ht="12.75" customHeight="1">
      <c r="A7" s="40" t="s">
        <v>1154</v>
      </c>
      <c r="B7" s="41"/>
      <c r="C7" s="772">
        <v>0</v>
      </c>
      <c r="D7" s="391">
        <v>0</v>
      </c>
      <c r="E7" s="391">
        <v>0</v>
      </c>
      <c r="F7" s="391">
        <v>0</v>
      </c>
      <c r="G7" s="391">
        <v>0</v>
      </c>
      <c r="H7" s="391">
        <v>0</v>
      </c>
      <c r="I7" s="391">
        <v>0</v>
      </c>
      <c r="J7" s="391">
        <v>0</v>
      </c>
      <c r="K7" s="391">
        <v>0</v>
      </c>
      <c r="L7" s="391">
        <v>0</v>
      </c>
      <c r="M7" s="391">
        <v>0</v>
      </c>
      <c r="N7" s="109">
        <f t="shared" si="0"/>
        <v>0</v>
      </c>
      <c r="O7" s="390"/>
      <c r="P7" s="391"/>
      <c r="Q7" s="754"/>
    </row>
    <row r="8" spans="1:17" ht="12.75" customHeight="1">
      <c r="A8" s="40" t="s">
        <v>1011</v>
      </c>
      <c r="B8" s="41"/>
      <c r="C8" s="772">
        <f>6817702.13+8639366.32</f>
        <v>15457068.449999999</v>
      </c>
      <c r="D8" s="391">
        <f>10124184.66+8082649.67</f>
        <v>18206834.329999998</v>
      </c>
      <c r="E8" s="391">
        <f>10410543.45</f>
        <v>10410543.449999999</v>
      </c>
      <c r="F8" s="391">
        <v>10782603.9</v>
      </c>
      <c r="G8" s="391">
        <v>13843689.449999999</v>
      </c>
      <c r="H8" s="391">
        <v>7624870.6299999999</v>
      </c>
      <c r="I8" s="391">
        <v>13380874.220000001</v>
      </c>
      <c r="J8" s="391">
        <v>23968000</v>
      </c>
      <c r="K8" s="391">
        <v>27112000</v>
      </c>
      <c r="L8" s="391">
        <v>34758000</v>
      </c>
      <c r="M8" s="391">
        <v>36000000</v>
      </c>
      <c r="N8" s="109">
        <f t="shared" si="0"/>
        <v>154455515.56999999</v>
      </c>
      <c r="O8" s="390">
        <v>366000000</v>
      </c>
      <c r="P8" s="391">
        <v>384300000</v>
      </c>
      <c r="Q8" s="754">
        <v>403515000</v>
      </c>
    </row>
    <row r="9" spans="1:17" ht="12.75" customHeight="1">
      <c r="A9" s="40" t="s">
        <v>1012</v>
      </c>
      <c r="B9" s="41"/>
      <c r="C9" s="772">
        <f>86626.94+4003552.68</f>
        <v>4090179.62</v>
      </c>
      <c r="D9" s="391">
        <f>2824850.69</f>
        <v>2824850.69</v>
      </c>
      <c r="E9" s="391">
        <f>1144479.93</f>
        <v>1144479.93</v>
      </c>
      <c r="F9" s="391">
        <v>2639993.9700000002</v>
      </c>
      <c r="G9" s="391">
        <v>2695431.82</v>
      </c>
      <c r="H9" s="391">
        <v>1317854.1599999999</v>
      </c>
      <c r="I9" s="391">
        <f>2287132.34+24.64</f>
        <v>2287156.98</v>
      </c>
      <c r="J9" s="391">
        <v>3727435</v>
      </c>
      <c r="K9" s="391">
        <v>3314521</v>
      </c>
      <c r="L9" s="391">
        <v>3959318</v>
      </c>
      <c r="M9" s="391">
        <v>3986800</v>
      </c>
      <c r="N9" s="109">
        <f t="shared" si="0"/>
        <v>13861978.829999998</v>
      </c>
      <c r="O9" s="390">
        <v>45850000</v>
      </c>
      <c r="P9" s="391">
        <v>48142500</v>
      </c>
      <c r="Q9" s="754">
        <v>50549625</v>
      </c>
    </row>
    <row r="10" spans="1:17" ht="12.75" customHeight="1">
      <c r="A10" s="40" t="s">
        <v>1013</v>
      </c>
      <c r="B10" s="41"/>
      <c r="C10" s="772">
        <v>4668706.47</v>
      </c>
      <c r="D10" s="391">
        <f>1197145.1</f>
        <v>1197145.1000000001</v>
      </c>
      <c r="E10" s="391">
        <f>684515.18</f>
        <v>684515.18</v>
      </c>
      <c r="F10" s="391">
        <v>1100523.53</v>
      </c>
      <c r="G10" s="391">
        <v>1098647.31</v>
      </c>
      <c r="H10" s="391">
        <v>645476.91</v>
      </c>
      <c r="I10" s="391">
        <v>1158170.28</v>
      </c>
      <c r="J10" s="391">
        <v>1932195</v>
      </c>
      <c r="K10" s="391">
        <v>2002145</v>
      </c>
      <c r="L10" s="391">
        <v>1008626</v>
      </c>
      <c r="M10" s="391">
        <v>1568000</v>
      </c>
      <c r="N10" s="109">
        <f t="shared" si="0"/>
        <v>3085849.2199999988</v>
      </c>
      <c r="O10" s="390">
        <v>20150000</v>
      </c>
      <c r="P10" s="391">
        <v>21157500</v>
      </c>
      <c r="Q10" s="754">
        <v>22215375</v>
      </c>
    </row>
    <row r="11" spans="1:17" ht="12.75" customHeight="1">
      <c r="A11" s="40" t="s">
        <v>599</v>
      </c>
      <c r="B11" s="41"/>
      <c r="C11" s="772">
        <v>467111.33</v>
      </c>
      <c r="D11" s="391">
        <f>589048.79</f>
        <v>589048.79</v>
      </c>
      <c r="E11" s="391">
        <f>450965.4</f>
        <v>450965.4</v>
      </c>
      <c r="F11" s="391">
        <v>576539.44999999995</v>
      </c>
      <c r="G11" s="391">
        <v>629542.36</v>
      </c>
      <c r="H11" s="391">
        <v>483612.64</v>
      </c>
      <c r="I11" s="391">
        <v>613859.06999999995</v>
      </c>
      <c r="J11" s="391">
        <v>1782754</v>
      </c>
      <c r="K11" s="391">
        <v>1662875</v>
      </c>
      <c r="L11" s="391">
        <v>1635813</v>
      </c>
      <c r="M11" s="391">
        <v>1605516</v>
      </c>
      <c r="N11" s="109">
        <f t="shared" si="0"/>
        <v>8768550.4600000009</v>
      </c>
      <c r="O11" s="390">
        <v>19266187.5</v>
      </c>
      <c r="P11" s="391">
        <v>20229496.879999999</v>
      </c>
      <c r="Q11" s="754">
        <v>21240971.719999999</v>
      </c>
    </row>
    <row r="12" spans="1:17" ht="12.75" customHeight="1">
      <c r="A12" s="40" t="s">
        <v>1014</v>
      </c>
      <c r="B12" s="41"/>
      <c r="C12" s="772">
        <f>678157.58+1502304.01</f>
        <v>2180461.59</v>
      </c>
      <c r="D12" s="391">
        <f>1197145.1+2824850.69</f>
        <v>4021995.79</v>
      </c>
      <c r="E12" s="391">
        <f>684515.18+1144479.93</f>
        <v>1828995.1099999999</v>
      </c>
      <c r="F12" s="391">
        <f>1100523.53+2639993.97</f>
        <v>3740517.5</v>
      </c>
      <c r="G12" s="391">
        <f>1098647.31+2695431.82</f>
        <v>3794079.13</v>
      </c>
      <c r="H12" s="391">
        <f>645476.91+1317854.16</f>
        <v>1963331.0699999998</v>
      </c>
      <c r="I12" s="391">
        <f>1158170.28+2287132.34+24.64</f>
        <v>3445327.2600000002</v>
      </c>
      <c r="J12" s="391">
        <v>5228000</v>
      </c>
      <c r="K12" s="391">
        <v>2814000</v>
      </c>
      <c r="L12" s="391">
        <v>2459000</v>
      </c>
      <c r="M12" s="391">
        <v>2487000</v>
      </c>
      <c r="N12" s="109">
        <f t="shared" si="0"/>
        <v>8655292.549999997</v>
      </c>
      <c r="O12" s="390">
        <v>42618000</v>
      </c>
      <c r="P12" s="391">
        <f>39685000+16357000</f>
        <v>56042000</v>
      </c>
      <c r="Q12" s="754">
        <f>50911000+17257000</f>
        <v>68168000</v>
      </c>
    </row>
    <row r="13" spans="1:17" ht="12.75" customHeight="1">
      <c r="A13" s="40" t="s">
        <v>1156</v>
      </c>
      <c r="B13" s="41"/>
      <c r="C13" s="772">
        <v>56489.87</v>
      </c>
      <c r="D13" s="391">
        <v>83432.490000000005</v>
      </c>
      <c r="E13" s="391">
        <v>28974.09</v>
      </c>
      <c r="F13" s="391">
        <v>24637.439999999999</v>
      </c>
      <c r="G13" s="391">
        <v>105282.79</v>
      </c>
      <c r="H13" s="391">
        <v>321991.83</v>
      </c>
      <c r="I13" s="391">
        <v>23745.13</v>
      </c>
      <c r="J13" s="391">
        <v>38510</v>
      </c>
      <c r="K13" s="391">
        <v>212382</v>
      </c>
      <c r="L13" s="391">
        <v>60285</v>
      </c>
      <c r="M13" s="391">
        <v>51450</v>
      </c>
      <c r="N13" s="109">
        <f t="shared" si="0"/>
        <v>192819.36</v>
      </c>
      <c r="O13" s="390">
        <v>1200000</v>
      </c>
      <c r="P13" s="391">
        <v>1260000</v>
      </c>
      <c r="Q13" s="754">
        <v>1323000</v>
      </c>
    </row>
    <row r="14" spans="1:17" ht="12.75" customHeight="1">
      <c r="A14" s="40" t="s">
        <v>1017</v>
      </c>
      <c r="B14" s="41"/>
      <c r="C14" s="772">
        <v>80781.649999999994</v>
      </c>
      <c r="D14" s="391">
        <v>266588.07</v>
      </c>
      <c r="E14" s="391">
        <v>368208.19</v>
      </c>
      <c r="F14" s="391">
        <v>190974.6</v>
      </c>
      <c r="G14" s="391">
        <v>57030.62</v>
      </c>
      <c r="H14" s="391">
        <v>49800.38</v>
      </c>
      <c r="I14" s="391">
        <v>45483.64</v>
      </c>
      <c r="J14" s="391">
        <v>44352</v>
      </c>
      <c r="K14" s="391">
        <v>22635</v>
      </c>
      <c r="L14" s="391">
        <v>29481</v>
      </c>
      <c r="M14" s="391">
        <v>84000</v>
      </c>
      <c r="N14" s="109">
        <f t="shared" si="0"/>
        <v>1184209.8500000001</v>
      </c>
      <c r="O14" s="390">
        <v>2423545</v>
      </c>
      <c r="P14" s="391">
        <v>2744722.25</v>
      </c>
      <c r="Q14" s="754">
        <v>3081958.36</v>
      </c>
    </row>
    <row r="15" spans="1:17" ht="12.75" customHeight="1">
      <c r="A15" s="40" t="s">
        <v>1018</v>
      </c>
      <c r="B15" s="41"/>
      <c r="C15" s="772">
        <v>1748494.47</v>
      </c>
      <c r="D15" s="391">
        <v>1811739.58</v>
      </c>
      <c r="E15" s="391">
        <v>1845205.21</v>
      </c>
      <c r="F15" s="391">
        <v>1867707.41</v>
      </c>
      <c r="G15" s="391">
        <v>1866006.87</v>
      </c>
      <c r="H15" s="391">
        <v>1899853.41</v>
      </c>
      <c r="I15" s="391">
        <v>1918483.19</v>
      </c>
      <c r="J15" s="391">
        <v>2748095</v>
      </c>
      <c r="K15" s="391">
        <v>1589000</v>
      </c>
      <c r="L15" s="391">
        <v>1537990</v>
      </c>
      <c r="M15" s="391">
        <v>843917</v>
      </c>
      <c r="N15" s="109">
        <f t="shared" si="0"/>
        <v>-2549492.1400000006</v>
      </c>
      <c r="O15" s="390">
        <v>17127000</v>
      </c>
      <c r="P15" s="391">
        <v>17983350</v>
      </c>
      <c r="Q15" s="754">
        <v>18882517.5</v>
      </c>
    </row>
    <row r="16" spans="1:17" ht="12.75" customHeight="1">
      <c r="A16" s="40" t="s">
        <v>1111</v>
      </c>
      <c r="B16" s="41"/>
      <c r="C16" s="772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109">
        <f t="shared" si="0"/>
        <v>0</v>
      </c>
      <c r="O16" s="390"/>
      <c r="P16" s="391">
        <v>0</v>
      </c>
      <c r="Q16" s="754">
        <v>0</v>
      </c>
    </row>
    <row r="17" spans="1:17" ht="12.75" customHeight="1">
      <c r="A17" s="40" t="s">
        <v>1019</v>
      </c>
      <c r="B17" s="41"/>
      <c r="C17" s="772">
        <v>188758.38</v>
      </c>
      <c r="D17" s="391">
        <v>108952.7</v>
      </c>
      <c r="E17" s="391">
        <v>92704.7</v>
      </c>
      <c r="F17" s="391">
        <v>36393.9</v>
      </c>
      <c r="G17" s="391">
        <v>120810.1</v>
      </c>
      <c r="H17" s="391">
        <v>47448.39</v>
      </c>
      <c r="I17" s="391">
        <v>40462.400000000001</v>
      </c>
      <c r="J17" s="391">
        <v>258000</v>
      </c>
      <c r="K17" s="391">
        <v>742220</v>
      </c>
      <c r="L17" s="391">
        <v>470619</v>
      </c>
      <c r="M17" s="391">
        <v>137813</v>
      </c>
      <c r="N17" s="109">
        <f t="shared" si="0"/>
        <v>806817.4299999997</v>
      </c>
      <c r="O17" s="390">
        <v>3051000</v>
      </c>
      <c r="P17" s="391">
        <v>3203550</v>
      </c>
      <c r="Q17" s="754">
        <v>3363727.5</v>
      </c>
    </row>
    <row r="18" spans="1:17" ht="12.75" customHeight="1">
      <c r="A18" s="40" t="s">
        <v>1020</v>
      </c>
      <c r="B18" s="41"/>
      <c r="C18" s="772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109">
        <f t="shared" si="0"/>
        <v>0</v>
      </c>
      <c r="O18" s="390"/>
      <c r="P18" s="391">
        <v>0</v>
      </c>
      <c r="Q18" s="754">
        <v>0</v>
      </c>
    </row>
    <row r="19" spans="1:17" ht="12.75" customHeight="1">
      <c r="A19" s="40" t="s">
        <v>729</v>
      </c>
      <c r="B19" s="41"/>
      <c r="C19" s="772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109">
        <f t="shared" si="0"/>
        <v>0</v>
      </c>
      <c r="O19" s="390"/>
      <c r="P19" s="391">
        <v>0</v>
      </c>
      <c r="Q19" s="754">
        <v>0</v>
      </c>
    </row>
    <row r="20" spans="1:17" ht="12.75" customHeight="1">
      <c r="A20" s="40" t="s">
        <v>150</v>
      </c>
      <c r="B20" s="41"/>
      <c r="C20" s="772">
        <f>140865000+2553000+1500000</f>
        <v>144918000</v>
      </c>
      <c r="D20" s="391">
        <f>800000+6198917</f>
        <v>6998917</v>
      </c>
      <c r="E20" s="391">
        <v>6476916.6699999999</v>
      </c>
      <c r="F20" s="391">
        <f>12953833.34+2553000</f>
        <v>15506833.34</v>
      </c>
      <c r="G20" s="391">
        <f>6476916.67+112662000</f>
        <v>119138916.67</v>
      </c>
      <c r="H20" s="391">
        <v>6476916.6699999999</v>
      </c>
      <c r="I20" s="391">
        <v>638416.67000000004</v>
      </c>
      <c r="J20" s="391">
        <v>6476942</v>
      </c>
      <c r="K20" s="391">
        <v>119168942</v>
      </c>
      <c r="L20" s="391">
        <v>6476942</v>
      </c>
      <c r="M20" s="391">
        <v>6476942</v>
      </c>
      <c r="N20" s="109">
        <f t="shared" si="0"/>
        <v>-12994685.020000041</v>
      </c>
      <c r="O20" s="390">
        <v>425760000</v>
      </c>
      <c r="P20" s="391">
        <v>448054000</v>
      </c>
      <c r="Q20" s="754">
        <v>474995000</v>
      </c>
    </row>
    <row r="21" spans="1:17" ht="12.75" customHeight="1">
      <c r="A21" s="40" t="s">
        <v>564</v>
      </c>
      <c r="B21" s="41"/>
      <c r="C21" s="772">
        <f>134242.81+308316.01+61326122.35</f>
        <v>61768681.170000002</v>
      </c>
      <c r="D21" s="391">
        <v>66434527.079999998</v>
      </c>
      <c r="E21" s="391">
        <f>2450+855212.82+85659327.52</f>
        <v>86516990.339999989</v>
      </c>
      <c r="F21" s="391">
        <v>6134052.8700000001</v>
      </c>
      <c r="G21" s="391">
        <v>5560822.1900000004</v>
      </c>
      <c r="H21" s="391">
        <v>4063081.26</v>
      </c>
      <c r="I21" s="391">
        <v>5851803.2199999997</v>
      </c>
      <c r="J21" s="391">
        <v>593595</v>
      </c>
      <c r="K21" s="391">
        <v>586900</v>
      </c>
      <c r="L21" s="391">
        <v>258000</v>
      </c>
      <c r="M21" s="391">
        <v>200368</v>
      </c>
      <c r="N21" s="109">
        <f t="shared" si="0"/>
        <v>-231957983.62999997</v>
      </c>
      <c r="O21" s="390">
        <v>6010837.5</v>
      </c>
      <c r="P21" s="391">
        <v>6211379.3799999999</v>
      </c>
      <c r="Q21" s="754">
        <v>6421948.3399999999</v>
      </c>
    </row>
    <row r="22" spans="1:17" ht="12.75" customHeight="1">
      <c r="A22" s="89" t="s">
        <v>1125</v>
      </c>
      <c r="B22" s="53"/>
      <c r="C22" s="482">
        <f t="shared" ref="C22:Q22" si="1">SUM(C6:C21)</f>
        <v>237139564.63</v>
      </c>
      <c r="D22" s="437">
        <f t="shared" si="1"/>
        <v>108965629.25</v>
      </c>
      <c r="E22" s="437">
        <f t="shared" si="1"/>
        <v>111120344.82999998</v>
      </c>
      <c r="F22" s="437">
        <f t="shared" si="1"/>
        <v>67037776.229999997</v>
      </c>
      <c r="G22" s="437">
        <f t="shared" si="1"/>
        <v>154236739.5</v>
      </c>
      <c r="H22" s="437">
        <f t="shared" si="1"/>
        <v>26133076.509999998</v>
      </c>
      <c r="I22" s="437">
        <f t="shared" si="1"/>
        <v>55973856.519999996</v>
      </c>
      <c r="J22" s="437">
        <f t="shared" si="1"/>
        <v>51467878</v>
      </c>
      <c r="K22" s="437">
        <f t="shared" si="1"/>
        <v>197694620</v>
      </c>
      <c r="L22" s="437">
        <f t="shared" si="1"/>
        <v>57324074</v>
      </c>
      <c r="M22" s="437">
        <f t="shared" si="1"/>
        <v>58111806</v>
      </c>
      <c r="N22" s="515">
        <f t="shared" si="1"/>
        <v>28560112.570000082</v>
      </c>
      <c r="O22" s="482">
        <f t="shared" si="1"/>
        <v>1153765478.04</v>
      </c>
      <c r="P22" s="437">
        <f t="shared" si="1"/>
        <v>1223752851.9500003</v>
      </c>
      <c r="Q22" s="520">
        <f t="shared" si="1"/>
        <v>1298802694.53</v>
      </c>
    </row>
    <row r="23" spans="1:17" ht="5.0999999999999996" customHeight="1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>
      <c r="A24" s="318" t="s">
        <v>888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>
      <c r="A25" s="87" t="s">
        <v>151</v>
      </c>
      <c r="B25" s="41"/>
      <c r="C25" s="772">
        <f>74904000+10971108.06</f>
        <v>85875108.060000002</v>
      </c>
      <c r="D25" s="391">
        <f>725000+4379498.31</f>
        <v>5104498.3099999996</v>
      </c>
      <c r="E25" s="391">
        <v>8061000</v>
      </c>
      <c r="F25" s="391">
        <v>0</v>
      </c>
      <c r="G25" s="391">
        <f>65590000+3500000+1000000+16678690.22+1185811.32</f>
        <v>87954501.539999992</v>
      </c>
      <c r="H25" s="391">
        <f>3500000+1000000</f>
        <v>4500000</v>
      </c>
      <c r="I25" s="391">
        <v>2275000</v>
      </c>
      <c r="J25" s="391">
        <v>9458000</v>
      </c>
      <c r="K25" s="391">
        <v>74238000</v>
      </c>
      <c r="L25" s="391">
        <v>4958000</v>
      </c>
      <c r="M25" s="391">
        <v>0</v>
      </c>
      <c r="N25" s="109">
        <f t="shared" si="2"/>
        <v>-8900348.9099999666</v>
      </c>
      <c r="O25" s="390">
        <f>207841759+10000000+44620000+8062000+3000000</f>
        <v>273523759</v>
      </c>
      <c r="P25" s="391">
        <f>219248000+15000000+32600000</f>
        <v>266848000</v>
      </c>
      <c r="Q25" s="754">
        <f>237210000+15000000+31400000</f>
        <v>283610000</v>
      </c>
    </row>
    <row r="26" spans="1:17" ht="12.75" customHeight="1">
      <c r="A26" s="40" t="s">
        <v>1093</v>
      </c>
      <c r="B26" s="41"/>
      <c r="C26" s="772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109">
        <f t="shared" si="2"/>
        <v>0</v>
      </c>
      <c r="O26" s="390"/>
      <c r="P26" s="391"/>
      <c r="Q26" s="754"/>
    </row>
    <row r="27" spans="1:17" ht="12.75" customHeight="1">
      <c r="A27" s="40" t="s">
        <v>1112</v>
      </c>
      <c r="B27" s="41"/>
      <c r="C27" s="772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109">
        <f t="shared" si="2"/>
        <v>0</v>
      </c>
      <c r="O27" s="390"/>
      <c r="P27" s="391"/>
      <c r="Q27" s="754"/>
    </row>
    <row r="28" spans="1:17" ht="12.75" customHeight="1">
      <c r="A28" s="40" t="s">
        <v>1087</v>
      </c>
      <c r="B28" s="41"/>
      <c r="C28" s="772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109">
        <f t="shared" si="2"/>
        <v>20000000</v>
      </c>
      <c r="O28" s="390">
        <v>20000000</v>
      </c>
      <c r="P28" s="391"/>
      <c r="Q28" s="754"/>
    </row>
    <row r="29" spans="1:17" ht="12.75" customHeight="1">
      <c r="A29" s="40" t="s">
        <v>1150</v>
      </c>
      <c r="B29" s="41"/>
      <c r="C29" s="772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109">
        <f t="shared" si="2"/>
        <v>98000000</v>
      </c>
      <c r="O29" s="390">
        <v>98000000</v>
      </c>
      <c r="P29" s="391"/>
      <c r="Q29" s="754"/>
    </row>
    <row r="30" spans="1:17" ht="12.75" customHeight="1">
      <c r="A30" s="40" t="s">
        <v>1016</v>
      </c>
      <c r="B30" s="41"/>
      <c r="C30" s="772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109">
        <f t="shared" si="2"/>
        <v>0</v>
      </c>
      <c r="O30" s="390"/>
      <c r="P30" s="391"/>
      <c r="Q30" s="754"/>
    </row>
    <row r="31" spans="1:17" ht="12.75" customHeight="1">
      <c r="A31" s="40" t="s">
        <v>83</v>
      </c>
      <c r="B31" s="41"/>
      <c r="C31" s="772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109">
        <f t="shared" si="2"/>
        <v>0</v>
      </c>
      <c r="O31" s="390"/>
      <c r="P31" s="391"/>
      <c r="Q31" s="754"/>
    </row>
    <row r="32" spans="1:17" ht="12.75" customHeight="1">
      <c r="A32" s="40" t="s">
        <v>84</v>
      </c>
      <c r="B32" s="41"/>
      <c r="C32" s="772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109">
        <f t="shared" si="2"/>
        <v>0</v>
      </c>
      <c r="O32" s="390"/>
      <c r="P32" s="391"/>
      <c r="Q32" s="754"/>
    </row>
    <row r="33" spans="1:17" ht="12.75" customHeight="1">
      <c r="A33" s="40" t="s">
        <v>82</v>
      </c>
      <c r="B33" s="41"/>
      <c r="C33" s="772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109">
        <f t="shared" si="2"/>
        <v>0</v>
      </c>
      <c r="O33" s="390"/>
      <c r="P33" s="391"/>
      <c r="Q33" s="754"/>
    </row>
    <row r="34" spans="1:17" ht="12.75" customHeight="1">
      <c r="A34" s="322" t="s">
        <v>1106</v>
      </c>
      <c r="B34" s="323"/>
      <c r="C34" s="261">
        <f t="shared" ref="C34:Q34" si="3">SUM(C22:C33)</f>
        <v>323014672.69</v>
      </c>
      <c r="D34" s="74">
        <f t="shared" si="3"/>
        <v>114070127.56</v>
      </c>
      <c r="E34" s="74">
        <f t="shared" si="3"/>
        <v>119181344.82999998</v>
      </c>
      <c r="F34" s="74">
        <f t="shared" si="3"/>
        <v>67037776.229999997</v>
      </c>
      <c r="G34" s="74">
        <f t="shared" si="3"/>
        <v>242191241.03999999</v>
      </c>
      <c r="H34" s="74">
        <f t="shared" si="3"/>
        <v>30633076.509999998</v>
      </c>
      <c r="I34" s="74">
        <f t="shared" si="3"/>
        <v>58248856.519999996</v>
      </c>
      <c r="J34" s="74">
        <f t="shared" si="3"/>
        <v>60925878</v>
      </c>
      <c r="K34" s="74">
        <f t="shared" si="3"/>
        <v>271932620</v>
      </c>
      <c r="L34" s="74">
        <f t="shared" si="3"/>
        <v>62282074</v>
      </c>
      <c r="M34" s="74">
        <f t="shared" si="3"/>
        <v>58111806</v>
      </c>
      <c r="N34" s="324">
        <f t="shared" si="3"/>
        <v>137659763.66000012</v>
      </c>
      <c r="O34" s="75">
        <f t="shared" si="3"/>
        <v>1545289237.04</v>
      </c>
      <c r="P34" s="74">
        <f t="shared" si="3"/>
        <v>1490600851.9500003</v>
      </c>
      <c r="Q34" s="146">
        <f t="shared" si="3"/>
        <v>1582412694.53</v>
      </c>
    </row>
    <row r="35" spans="1:17" ht="5.0999999999999996" customHeight="1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>
      <c r="A36" s="36" t="s">
        <v>1126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>
      <c r="A37" s="40" t="s">
        <v>1022</v>
      </c>
      <c r="B37" s="41"/>
      <c r="C37" s="772">
        <f>11799570.52+2171117.8+4747005</f>
        <v>18717693.32</v>
      </c>
      <c r="D37" s="391">
        <f>14053559.24+2317487.05+6125147</f>
        <v>22496193.289999999</v>
      </c>
      <c r="E37" s="391">
        <f>12400566.17+2312691.86</f>
        <v>14713258.029999999</v>
      </c>
      <c r="F37" s="391">
        <f>13197241.17+2316222.38+5063757</f>
        <v>20577220.550000001</v>
      </c>
      <c r="G37" s="391">
        <f>13275882.39+2320169.58+5157689</f>
        <v>20753740.969999999</v>
      </c>
      <c r="H37" s="391">
        <f>13915429.09+2341057.29+5009346</f>
        <v>21265832.379999999</v>
      </c>
      <c r="I37" s="391">
        <f>13795844.2+2407408.47+5073932</f>
        <v>21277184.670000002</v>
      </c>
      <c r="J37" s="391">
        <v>20003061</v>
      </c>
      <c r="K37" s="391">
        <v>20573000</v>
      </c>
      <c r="L37" s="391">
        <v>20513000</v>
      </c>
      <c r="M37" s="391">
        <v>20325000</v>
      </c>
      <c r="N37" s="109">
        <f t="shared" si="4"/>
        <v>53884502.280000031</v>
      </c>
      <c r="O37" s="390">
        <v>275099686.49000001</v>
      </c>
      <c r="P37" s="391">
        <v>284314655.13</v>
      </c>
      <c r="Q37" s="754">
        <v>312472838.29000002</v>
      </c>
    </row>
    <row r="38" spans="1:17" ht="12.75" customHeight="1">
      <c r="A38" s="40" t="s">
        <v>590</v>
      </c>
      <c r="B38" s="41"/>
      <c r="C38" s="772">
        <f>1457111.28</f>
        <v>1457111.28</v>
      </c>
      <c r="D38" s="391">
        <f>1457111.28</f>
        <v>1457111.28</v>
      </c>
      <c r="E38" s="391">
        <v>1457111.28</v>
      </c>
      <c r="F38" s="391">
        <f>1457111.28</f>
        <v>1457111.28</v>
      </c>
      <c r="G38" s="391">
        <f>1465644.04</f>
        <v>1465644.04</v>
      </c>
      <c r="H38" s="391">
        <v>1609174.05</v>
      </c>
      <c r="I38" s="391">
        <f>1609174.06</f>
        <v>1609174.06</v>
      </c>
      <c r="J38" s="391">
        <v>1859000</v>
      </c>
      <c r="K38" s="391">
        <v>1857000</v>
      </c>
      <c r="L38" s="391">
        <v>1839000</v>
      </c>
      <c r="M38" s="391">
        <v>2006000</v>
      </c>
      <c r="N38" s="109">
        <f t="shared" si="4"/>
        <v>6000271.7299999967</v>
      </c>
      <c r="O38" s="390">
        <v>24073709</v>
      </c>
      <c r="P38" s="391">
        <v>14119441.039999999</v>
      </c>
      <c r="Q38" s="754">
        <v>15373885.15</v>
      </c>
    </row>
    <row r="39" spans="1:17" ht="12.75" customHeight="1">
      <c r="A39" s="40" t="s">
        <v>1024</v>
      </c>
      <c r="B39" s="41"/>
      <c r="C39" s="772">
        <v>0</v>
      </c>
      <c r="D39" s="391">
        <v>263086.7</v>
      </c>
      <c r="E39" s="391">
        <f>262391.97</f>
        <v>262391.96999999997</v>
      </c>
      <c r="F39" s="391">
        <v>234314.64</v>
      </c>
      <c r="G39" s="391">
        <v>0</v>
      </c>
      <c r="H39" s="391">
        <v>2609974.38</v>
      </c>
      <c r="I39" s="391">
        <v>265621.12</v>
      </c>
      <c r="J39" s="391">
        <v>3200000</v>
      </c>
      <c r="K39" s="391">
        <v>0</v>
      </c>
      <c r="L39" s="391">
        <v>0</v>
      </c>
      <c r="M39" s="391">
        <v>0</v>
      </c>
      <c r="N39" s="109">
        <f t="shared" si="4"/>
        <v>9164611.1899999995</v>
      </c>
      <c r="O39" s="390">
        <v>16000000</v>
      </c>
      <c r="P39" s="391">
        <v>16800000</v>
      </c>
      <c r="Q39" s="754">
        <v>17640000</v>
      </c>
    </row>
    <row r="40" spans="1:17" ht="12.75" customHeight="1">
      <c r="A40" s="40" t="s">
        <v>1105</v>
      </c>
      <c r="B40" s="41"/>
      <c r="C40" s="772">
        <f>15079679.44</f>
        <v>15079679.439999999</v>
      </c>
      <c r="D40" s="391">
        <v>30159358.879999999</v>
      </c>
      <c r="E40" s="391">
        <f>10130752.17</f>
        <v>10130752.17</v>
      </c>
      <c r="F40" s="391">
        <v>24122807.010000002</v>
      </c>
      <c r="G40" s="391">
        <v>23752315.68</v>
      </c>
      <c r="H40" s="391">
        <v>58998359.270000003</v>
      </c>
      <c r="I40" s="391">
        <f>4824561.4+6140350.88</f>
        <v>10964912.280000001</v>
      </c>
      <c r="J40" s="391">
        <v>24481661</v>
      </c>
      <c r="K40" s="391">
        <v>19798000</v>
      </c>
      <c r="L40" s="391">
        <v>24050201</v>
      </c>
      <c r="M40" s="391">
        <v>25000000</v>
      </c>
      <c r="N40" s="109">
        <f t="shared" si="4"/>
        <v>33461953.269999981</v>
      </c>
      <c r="O40" s="390">
        <v>300000000</v>
      </c>
      <c r="P40" s="391">
        <v>315000000</v>
      </c>
      <c r="Q40" s="754">
        <v>330750000</v>
      </c>
    </row>
    <row r="41" spans="1:17" ht="12.75" customHeight="1">
      <c r="A41" s="87" t="s">
        <v>1108</v>
      </c>
      <c r="B41" s="41"/>
      <c r="C41" s="772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109">
        <f t="shared" si="4"/>
        <v>10920000</v>
      </c>
      <c r="O41" s="390">
        <v>10920000</v>
      </c>
      <c r="P41" s="391">
        <v>11755000</v>
      </c>
      <c r="Q41" s="754">
        <v>12343000</v>
      </c>
    </row>
    <row r="42" spans="1:17" ht="12.75" customHeight="1">
      <c r="A42" s="87" t="s">
        <v>1110</v>
      </c>
      <c r="B42" s="41"/>
      <c r="C42" s="772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109">
        <f t="shared" si="4"/>
        <v>0</v>
      </c>
      <c r="O42" s="390"/>
      <c r="P42" s="391"/>
      <c r="Q42" s="754"/>
    </row>
    <row r="43" spans="1:17" ht="12.75" customHeight="1">
      <c r="A43" s="87" t="s">
        <v>1026</v>
      </c>
      <c r="B43" s="41"/>
      <c r="C43" s="772">
        <f>7832334.24</f>
        <v>7832334.2400000002</v>
      </c>
      <c r="D43" s="391">
        <v>3130098.56</v>
      </c>
      <c r="E43" s="391">
        <f>11257041.9</f>
        <v>11257041.9</v>
      </c>
      <c r="F43" s="391">
        <f>14176408.02</f>
        <v>14176408.02</v>
      </c>
      <c r="G43" s="391">
        <v>22933058.379999999</v>
      </c>
      <c r="H43" s="391">
        <v>5011125.51</v>
      </c>
      <c r="I43" s="391">
        <v>4625803.3099999996</v>
      </c>
      <c r="J43" s="391">
        <v>4340584</v>
      </c>
      <c r="K43" s="391">
        <v>4174592</v>
      </c>
      <c r="L43" s="391">
        <v>3066065</v>
      </c>
      <c r="M43" s="391">
        <v>3565416.6666666665</v>
      </c>
      <c r="N43" s="109">
        <f t="shared" si="4"/>
        <v>-9327527.5866666585</v>
      </c>
      <c r="O43" s="390">
        <v>74785000</v>
      </c>
      <c r="P43" s="391">
        <v>78524250</v>
      </c>
      <c r="Q43" s="754">
        <v>82450462.5</v>
      </c>
    </row>
    <row r="44" spans="1:17" ht="12.75" customHeight="1">
      <c r="A44" s="87" t="s">
        <v>1114</v>
      </c>
      <c r="B44" s="41"/>
      <c r="C44" s="772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109">
        <f t="shared" si="4"/>
        <v>0</v>
      </c>
      <c r="O44" s="390"/>
      <c r="P44" s="391"/>
      <c r="Q44" s="754"/>
    </row>
    <row r="45" spans="1:17" ht="12.75" customHeight="1">
      <c r="A45" s="87" t="s">
        <v>1115</v>
      </c>
      <c r="B45" s="41"/>
      <c r="C45" s="772">
        <v>0</v>
      </c>
      <c r="D45" s="391">
        <v>6198917</v>
      </c>
      <c r="E45" s="391">
        <f>6476916.67</f>
        <v>6476916.6699999999</v>
      </c>
      <c r="F45" s="391">
        <f>12953833.34</f>
        <v>12953833.34</v>
      </c>
      <c r="G45" s="391">
        <v>6476916.6699999999</v>
      </c>
      <c r="H45" s="391">
        <v>6476916.6699999999</v>
      </c>
      <c r="I45" s="391">
        <v>638416.67000000004</v>
      </c>
      <c r="J45" s="391">
        <v>6476942</v>
      </c>
      <c r="K45" s="391">
        <v>6476942</v>
      </c>
      <c r="L45" s="391">
        <v>6476942</v>
      </c>
      <c r="M45" s="391">
        <v>6476942</v>
      </c>
      <c r="N45" s="109">
        <f t="shared" si="4"/>
        <v>12593614.979999997</v>
      </c>
      <c r="O45" s="390">
        <v>77723300</v>
      </c>
      <c r="P45" s="391">
        <v>78565415</v>
      </c>
      <c r="Q45" s="754">
        <v>80243685.75</v>
      </c>
    </row>
    <row r="46" spans="1:17" ht="12.75" customHeight="1">
      <c r="A46" s="87" t="s">
        <v>1027</v>
      </c>
      <c r="B46" s="41"/>
      <c r="C46" s="772">
        <f>3114610.45+1185526.56+533706.53+15706.35+5074+2091049+385227+1559496+279082972.83</f>
        <v>287973368.71999997</v>
      </c>
      <c r="D46" s="391">
        <f>39997484.58+1137239+989089+1554907-6198917</f>
        <v>37479802.579999998</v>
      </c>
      <c r="E46" s="391">
        <f>21304340.23+6024911.33+496761.93+417541.16+87536.45+9660579.08</f>
        <v>37991670.18</v>
      </c>
      <c r="F46" s="391">
        <f>11515358.58+1735926+1367189+244193+1537929</f>
        <v>16400595.58</v>
      </c>
      <c r="G46" s="391">
        <f>48023139.22+2187155+1589267+154241+2698233</f>
        <v>54652035.219999999</v>
      </c>
      <c r="H46" s="391">
        <f>186399.53+3943863</f>
        <v>4130262.53</v>
      </c>
      <c r="I46" s="391">
        <v>1198977.6000000001</v>
      </c>
      <c r="J46" s="391">
        <v>15477583.3333333</v>
      </c>
      <c r="K46" s="391">
        <v>10677000</v>
      </c>
      <c r="L46" s="391">
        <v>14898000</v>
      </c>
      <c r="M46" s="391">
        <v>15888000</v>
      </c>
      <c r="N46" s="109">
        <f t="shared" si="4"/>
        <v>-122221224.37333328</v>
      </c>
      <c r="O46" s="390">
        <f>183455507.21+75496480.31+49000000+66594083.85</f>
        <v>374546071.37</v>
      </c>
      <c r="P46" s="391">
        <f>210501665.07+79271304.33+51450000+69923788.04</f>
        <v>411146757.44</v>
      </c>
      <c r="Q46" s="754">
        <f>224958801.7+83234869.54+54022500+73419977.44</f>
        <v>435636148.68000001</v>
      </c>
    </row>
    <row r="47" spans="1:17" ht="12.75" customHeight="1">
      <c r="A47" s="89" t="s">
        <v>1126</v>
      </c>
      <c r="B47" s="53">
        <f>SUM(B37:B46)</f>
        <v>0</v>
      </c>
      <c r="C47" s="482">
        <f>SUM(C37:C46)</f>
        <v>331060187</v>
      </c>
      <c r="D47" s="437">
        <f t="shared" ref="D47:Q47" si="5">SUM(D37:D46)</f>
        <v>101184568.28999999</v>
      </c>
      <c r="E47" s="437">
        <f t="shared" si="5"/>
        <v>82289142.200000003</v>
      </c>
      <c r="F47" s="437">
        <f t="shared" si="5"/>
        <v>89922290.420000002</v>
      </c>
      <c r="G47" s="437">
        <f t="shared" si="5"/>
        <v>130033710.95999999</v>
      </c>
      <c r="H47" s="437">
        <f t="shared" si="5"/>
        <v>100101644.79000001</v>
      </c>
      <c r="I47" s="437">
        <f t="shared" si="5"/>
        <v>40580089.710000008</v>
      </c>
      <c r="J47" s="437">
        <f t="shared" si="5"/>
        <v>75838831.333333299</v>
      </c>
      <c r="K47" s="437">
        <f t="shared" si="5"/>
        <v>63556534</v>
      </c>
      <c r="L47" s="437">
        <f t="shared" si="5"/>
        <v>70843208</v>
      </c>
      <c r="M47" s="437">
        <f t="shared" si="5"/>
        <v>73261358.666666657</v>
      </c>
      <c r="N47" s="515">
        <f t="shared" si="5"/>
        <v>-5523798.5099999309</v>
      </c>
      <c r="O47" s="482">
        <f t="shared" si="5"/>
        <v>1153147766.8600001</v>
      </c>
      <c r="P47" s="437">
        <f t="shared" si="5"/>
        <v>1210225518.6100001</v>
      </c>
      <c r="Q47" s="520">
        <f t="shared" si="5"/>
        <v>1286910020.3700001</v>
      </c>
    </row>
    <row r="48" spans="1:17" ht="5.0999999999999996" customHeight="1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>
      <c r="A49" s="89" t="s">
        <v>822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>
      <c r="A50" s="87" t="s">
        <v>862</v>
      </c>
      <c r="B50" s="41"/>
      <c r="C50" s="772">
        <f>6911729.37+7909130.64</f>
        <v>14820860.01</v>
      </c>
      <c r="D50" s="391">
        <v>20808748.510000002</v>
      </c>
      <c r="E50" s="391">
        <v>6562230.4799999995</v>
      </c>
      <c r="F50" s="391">
        <v>22802079.98</v>
      </c>
      <c r="G50" s="391">
        <v>29640777.030000001</v>
      </c>
      <c r="H50" s="391">
        <v>20036560.16</v>
      </c>
      <c r="I50" s="391">
        <v>9754095.3800000008</v>
      </c>
      <c r="J50" s="391">
        <v>24596000</v>
      </c>
      <c r="K50" s="391">
        <v>25237000</v>
      </c>
      <c r="L50" s="391">
        <v>31741000</v>
      </c>
      <c r="M50" s="391">
        <v>20000000</v>
      </c>
      <c r="N50" s="109">
        <f>O50-SUM(C50:M50)</f>
        <v>70024407.449999988</v>
      </c>
      <c r="O50" s="390">
        <f>394023759-98000000</f>
        <v>296023759</v>
      </c>
      <c r="P50" s="391">
        <v>266848000</v>
      </c>
      <c r="Q50" s="754">
        <v>283610000</v>
      </c>
    </row>
    <row r="51" spans="1:17" ht="12.75" customHeight="1">
      <c r="A51" s="87" t="s">
        <v>1086</v>
      </c>
      <c r="B51" s="41"/>
      <c r="C51" s="772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109">
        <f>O51-SUM(C51:M51)</f>
        <v>98000000</v>
      </c>
      <c r="O51" s="390">
        <v>98000000</v>
      </c>
      <c r="P51" s="391"/>
      <c r="Q51" s="754"/>
    </row>
    <row r="52" spans="1:17" ht="12.75" customHeight="1">
      <c r="A52" s="87" t="s">
        <v>2</v>
      </c>
      <c r="B52" s="41"/>
      <c r="C52" s="772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109">
        <f>O52-SUM(C52:M52)</f>
        <v>0</v>
      </c>
      <c r="O52" s="390"/>
      <c r="P52" s="391"/>
      <c r="Q52" s="754"/>
    </row>
    <row r="53" spans="1:17" ht="12.75" customHeight="1">
      <c r="A53" s="322" t="s">
        <v>1107</v>
      </c>
      <c r="B53" s="323">
        <f t="shared" ref="B53:Q53" si="6">SUM(B47:B52)</f>
        <v>0</v>
      </c>
      <c r="C53" s="261">
        <f t="shared" si="6"/>
        <v>345881047.00999999</v>
      </c>
      <c r="D53" s="74">
        <f t="shared" si="6"/>
        <v>121993316.8</v>
      </c>
      <c r="E53" s="74">
        <f t="shared" si="6"/>
        <v>88851372.680000007</v>
      </c>
      <c r="F53" s="74">
        <f t="shared" si="6"/>
        <v>112724370.40000001</v>
      </c>
      <c r="G53" s="74">
        <f t="shared" si="6"/>
        <v>159674487.99000001</v>
      </c>
      <c r="H53" s="74">
        <f t="shared" si="6"/>
        <v>120138204.95</v>
      </c>
      <c r="I53" s="74">
        <f t="shared" si="6"/>
        <v>50334185.090000011</v>
      </c>
      <c r="J53" s="74">
        <f t="shared" si="6"/>
        <v>100434831.3333333</v>
      </c>
      <c r="K53" s="74">
        <f t="shared" si="6"/>
        <v>88793534</v>
      </c>
      <c r="L53" s="74">
        <f t="shared" si="6"/>
        <v>102584208</v>
      </c>
      <c r="M53" s="74">
        <f t="shared" si="6"/>
        <v>93261358.666666657</v>
      </c>
      <c r="N53" s="324">
        <f t="shared" si="6"/>
        <v>162500608.94000006</v>
      </c>
      <c r="O53" s="75">
        <f t="shared" si="6"/>
        <v>1547171525.8600001</v>
      </c>
      <c r="P53" s="74">
        <f t="shared" si="6"/>
        <v>1477073518.6100001</v>
      </c>
      <c r="Q53" s="146">
        <f t="shared" si="6"/>
        <v>1570520020.3700001</v>
      </c>
    </row>
    <row r="54" spans="1:17" ht="5.0999999999999996" customHeight="1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>
      <c r="A55" s="319" t="s">
        <v>722</v>
      </c>
      <c r="B55" s="182">
        <f t="shared" ref="B55:Q55" si="7">B34-B53</f>
        <v>0</v>
      </c>
      <c r="C55" s="260">
        <f t="shared" si="7"/>
        <v>-22866374.319999993</v>
      </c>
      <c r="D55" s="51">
        <f t="shared" si="7"/>
        <v>-7923189.2399999946</v>
      </c>
      <c r="E55" s="51">
        <f t="shared" si="7"/>
        <v>30329972.149999976</v>
      </c>
      <c r="F55" s="51">
        <f t="shared" si="7"/>
        <v>-45686594.170000009</v>
      </c>
      <c r="G55" s="51">
        <f t="shared" si="7"/>
        <v>82516753.049999982</v>
      </c>
      <c r="H55" s="51">
        <f t="shared" si="7"/>
        <v>-89505128.439999998</v>
      </c>
      <c r="I55" s="51">
        <f t="shared" si="7"/>
        <v>7914671.4299999848</v>
      </c>
      <c r="J55" s="51">
        <f t="shared" si="7"/>
        <v>-39508953.333333299</v>
      </c>
      <c r="K55" s="51">
        <f t="shared" si="7"/>
        <v>183139086</v>
      </c>
      <c r="L55" s="51">
        <f t="shared" si="7"/>
        <v>-40302134</v>
      </c>
      <c r="M55" s="51">
        <f t="shared" si="7"/>
        <v>-35149552.666666657</v>
      </c>
      <c r="N55" s="111">
        <f t="shared" si="7"/>
        <v>-24840845.279999942</v>
      </c>
      <c r="O55" s="52">
        <f t="shared" si="7"/>
        <v>-1882288.8200001717</v>
      </c>
      <c r="P55" s="51">
        <f t="shared" si="7"/>
        <v>13527333.340000153</v>
      </c>
      <c r="Q55" s="195">
        <f t="shared" si="7"/>
        <v>11892674.159999847</v>
      </c>
    </row>
    <row r="56" spans="1:17" ht="12.75" customHeight="1">
      <c r="A56" s="87" t="s">
        <v>712</v>
      </c>
      <c r="B56" s="41"/>
      <c r="C56" s="772"/>
      <c r="D56" s="45">
        <f>C57</f>
        <v>-22866374.319999993</v>
      </c>
      <c r="E56" s="45">
        <f t="shared" ref="E56:N56" si="8">D57</f>
        <v>-30789563.559999987</v>
      </c>
      <c r="F56" s="45">
        <f t="shared" si="8"/>
        <v>-459591.41000001132</v>
      </c>
      <c r="G56" s="45">
        <f t="shared" si="8"/>
        <v>-46146185.580000021</v>
      </c>
      <c r="H56" s="45">
        <f t="shared" si="8"/>
        <v>36370567.469999962</v>
      </c>
      <c r="I56" s="45">
        <f t="shared" si="8"/>
        <v>-53134560.970000036</v>
      </c>
      <c r="J56" s="45">
        <f t="shared" si="8"/>
        <v>-45219889.540000051</v>
      </c>
      <c r="K56" s="45">
        <f t="shared" si="8"/>
        <v>-84728842.87333335</v>
      </c>
      <c r="L56" s="45">
        <f t="shared" si="8"/>
        <v>98410243.12666665</v>
      </c>
      <c r="M56" s="45">
        <f t="shared" si="8"/>
        <v>58108109.12666665</v>
      </c>
      <c r="N56" s="109">
        <f t="shared" si="8"/>
        <v>22958556.459999993</v>
      </c>
      <c r="O56" s="47">
        <f>C56</f>
        <v>0</v>
      </c>
      <c r="P56" s="45">
        <f>O57</f>
        <v>-1882288.8200001717</v>
      </c>
      <c r="Q56" s="145">
        <f>P57</f>
        <v>11645044.519999981</v>
      </c>
    </row>
    <row r="57" spans="1:17" ht="12.75" customHeight="1">
      <c r="A57" s="325" t="s">
        <v>823</v>
      </c>
      <c r="B57" s="177"/>
      <c r="C57" s="303">
        <f>C55+C56</f>
        <v>-22866374.319999993</v>
      </c>
      <c r="D57" s="116">
        <f>D55+D56</f>
        <v>-30789563.559999987</v>
      </c>
      <c r="E57" s="116">
        <f t="shared" ref="E57:N57" si="9">E55+E56</f>
        <v>-459591.41000001132</v>
      </c>
      <c r="F57" s="116">
        <f t="shared" si="9"/>
        <v>-46146185.580000021</v>
      </c>
      <c r="G57" s="116">
        <f t="shared" si="9"/>
        <v>36370567.469999962</v>
      </c>
      <c r="H57" s="116">
        <f t="shared" si="9"/>
        <v>-53134560.970000036</v>
      </c>
      <c r="I57" s="116">
        <f t="shared" si="9"/>
        <v>-45219889.540000051</v>
      </c>
      <c r="J57" s="116">
        <f t="shared" si="9"/>
        <v>-84728842.87333335</v>
      </c>
      <c r="K57" s="116">
        <f t="shared" si="9"/>
        <v>98410243.12666665</v>
      </c>
      <c r="L57" s="116">
        <f t="shared" si="9"/>
        <v>58108109.12666665</v>
      </c>
      <c r="M57" s="116">
        <f t="shared" si="9"/>
        <v>22958556.459999993</v>
      </c>
      <c r="N57" s="321">
        <f t="shared" si="9"/>
        <v>-1882288.8199999481</v>
      </c>
      <c r="O57" s="117">
        <f>O55+O56</f>
        <v>-1882288.8200001717</v>
      </c>
      <c r="P57" s="116">
        <f>P55+P56</f>
        <v>11645044.519999981</v>
      </c>
      <c r="Q57" s="191">
        <f>Q55+Q56</f>
        <v>23537718.679999828</v>
      </c>
    </row>
    <row r="58" spans="1:17" ht="12.75" customHeight="1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>
      <c r="A59" s="81" t="s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>
      <c r="A60" s="81" t="s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61" t="s">
        <v>85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/>
    <row r="65" spans="5:16">
      <c r="E65" s="85"/>
      <c r="F65" s="85"/>
      <c r="G65" s="85"/>
      <c r="H65" s="85"/>
      <c r="I65" s="85"/>
      <c r="J65" s="85"/>
      <c r="K65" s="85"/>
      <c r="L65" s="85"/>
      <c r="M65" s="85"/>
    </row>
    <row r="66" spans="5:16">
      <c r="E66" s="86">
        <f t="shared" ref="E66:P66" si="10">E47+E65</f>
        <v>82289142.200000003</v>
      </c>
      <c r="F66" s="86">
        <f t="shared" si="10"/>
        <v>89922290.420000002</v>
      </c>
      <c r="G66" s="86">
        <f t="shared" si="10"/>
        <v>130033710.95999999</v>
      </c>
      <c r="H66" s="86">
        <f t="shared" si="10"/>
        <v>100101644.79000001</v>
      </c>
      <c r="I66" s="86">
        <f t="shared" si="10"/>
        <v>40580089.710000008</v>
      </c>
      <c r="J66" s="86">
        <f t="shared" si="10"/>
        <v>75838831.333333299</v>
      </c>
      <c r="K66" s="86">
        <f t="shared" si="10"/>
        <v>63556534</v>
      </c>
      <c r="L66" s="86">
        <f t="shared" si="10"/>
        <v>70843208</v>
      </c>
      <c r="M66" s="86"/>
      <c r="N66" s="86">
        <f>N47+N65</f>
        <v>-5523798.5099999309</v>
      </c>
      <c r="O66" s="86">
        <f t="shared" si="10"/>
        <v>1153147766.8600001</v>
      </c>
      <c r="P66" s="86">
        <f t="shared" si="10"/>
        <v>1210225518.6100001</v>
      </c>
    </row>
    <row r="67" spans="5:16">
      <c r="E67" s="86">
        <f t="shared" ref="E67:P67" si="11">E55-E65</f>
        <v>30329972.149999976</v>
      </c>
      <c r="F67" s="86">
        <f t="shared" si="11"/>
        <v>-45686594.170000009</v>
      </c>
      <c r="G67" s="86">
        <f t="shared" si="11"/>
        <v>82516753.049999982</v>
      </c>
      <c r="H67" s="86">
        <f t="shared" si="11"/>
        <v>-89505128.439999998</v>
      </c>
      <c r="I67" s="86">
        <f t="shared" si="11"/>
        <v>7914671.4299999848</v>
      </c>
      <c r="J67" s="86">
        <f t="shared" si="11"/>
        <v>-39508953.333333299</v>
      </c>
      <c r="K67" s="86">
        <f t="shared" si="11"/>
        <v>183139086</v>
      </c>
      <c r="L67" s="86">
        <f t="shared" si="11"/>
        <v>-40302134</v>
      </c>
      <c r="M67" s="86">
        <f>M55-M65</f>
        <v>-35149552.666666657</v>
      </c>
      <c r="N67" s="86">
        <f>N55-N65</f>
        <v>-24840845.279999942</v>
      </c>
      <c r="O67" s="86">
        <f t="shared" si="11"/>
        <v>-1882288.8200001717</v>
      </c>
      <c r="P67" s="86">
        <f t="shared" si="11"/>
        <v>13527333.340000153</v>
      </c>
    </row>
    <row r="192" spans="2:43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3" type="noConversion"/>
  <printOptions horizontalCentered="1"/>
  <pageMargins left="0.55000000000000004" right="0.19685039370078741" top="0.52" bottom="0.23" header="0.51181102362204722" footer="0.21"/>
  <pageSetup paperSize="9" scale="6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F26" sqref="F26:G36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"&amp;S71P&amp; " - "&amp;Head57</f>
        <v>FS194 Maluti-a-Phofung - Supporting Table SC10 Monthly Budget Statement  - Parent Municipality Financial Performance (revenue and expenditure) 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>
      <c r="A4" s="295" t="s">
        <v>821</v>
      </c>
      <c r="B4" s="249">
        <v>1</v>
      </c>
      <c r="C4" s="296"/>
      <c r="D4" s="297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>
      <c r="A6" s="40" t="str">
        <f>'C4-FinPerf RE'!A6</f>
        <v>Property rates</v>
      </c>
      <c r="B6" s="170"/>
      <c r="C6" s="767"/>
      <c r="D6" s="390">
        <v>204308908.03999999</v>
      </c>
      <c r="E6" s="391"/>
      <c r="F6" s="752">
        <f>59307793.13-47578389.23</f>
        <v>11729403.900000006</v>
      </c>
      <c r="G6" s="752">
        <f>18322388.72+10975987.51+12732849.04+10632736.29+11687625.8+11781061.26+11729403.9</f>
        <v>87862052.520000011</v>
      </c>
      <c r="H6" s="391">
        <v>204308908.03999999</v>
      </c>
      <c r="I6" s="45">
        <f t="shared" ref="I6:I22" si="0">G6-H6</f>
        <v>-116446855.51999998</v>
      </c>
      <c r="J6" s="334">
        <f>IF(I6=0,"",I6/H6)</f>
        <v>-0.56995486216000812</v>
      </c>
      <c r="K6" s="754"/>
    </row>
    <row r="7" spans="1:11" ht="12.75" customHeight="1">
      <c r="A7" s="40" t="str">
        <f>'C4-FinPerf RE'!A7</f>
        <v>Property rates - penalties &amp; collection charges</v>
      </c>
      <c r="B7" s="170"/>
      <c r="C7" s="767"/>
      <c r="D7" s="390"/>
      <c r="E7" s="391"/>
      <c r="F7" s="752"/>
      <c r="G7" s="752"/>
      <c r="H7" s="391"/>
      <c r="I7" s="45">
        <f t="shared" si="0"/>
        <v>0</v>
      </c>
      <c r="J7" s="334" t="str">
        <f t="shared" ref="J7:J23" si="1">IF(I7=0,"",I7/H7)</f>
        <v/>
      </c>
      <c r="K7" s="754"/>
    </row>
    <row r="8" spans="1:11" ht="12.75" customHeight="1">
      <c r="A8" s="40" t="str">
        <f>'C4-FinPerf RE'!A8</f>
        <v>Service charges - electricity revenue</v>
      </c>
      <c r="B8" s="170"/>
      <c r="C8" s="767"/>
      <c r="D8" s="390">
        <v>366000000</v>
      </c>
      <c r="E8" s="391"/>
      <c r="F8" s="752">
        <f>180894.85+7085467.34+10234782.65</f>
        <v>17501144.84</v>
      </c>
      <c r="G8" s="752">
        <f>21324142.45+18067859.71+25895789.72+13979691.42+4163592.72+25903624.5+17501144.84</f>
        <v>126835845.36</v>
      </c>
      <c r="H8" s="391">
        <v>366000000</v>
      </c>
      <c r="I8" s="45">
        <f t="shared" si="0"/>
        <v>-239164154.63999999</v>
      </c>
      <c r="J8" s="334">
        <f t="shared" si="1"/>
        <v>-0.65345397442622943</v>
      </c>
      <c r="K8" s="754"/>
    </row>
    <row r="9" spans="1:11" ht="12.75" customHeight="1">
      <c r="A9" s="87" t="str">
        <f>'C4-FinPerf RE'!A9</f>
        <v>Service charges - water revenue</v>
      </c>
      <c r="B9" s="172"/>
      <c r="C9" s="767"/>
      <c r="D9" s="390">
        <v>45850000</v>
      </c>
      <c r="E9" s="391"/>
      <c r="F9" s="752">
        <f>56383.12+3702000.44</f>
        <v>3758383.56</v>
      </c>
      <c r="G9" s="752">
        <f>4090179.62+4153776.92+4472997.58+3821122.15+4733123.7+3384449.36+3758383.56</f>
        <v>28414032.890000001</v>
      </c>
      <c r="H9" s="391">
        <v>45850000</v>
      </c>
      <c r="I9" s="45">
        <f t="shared" si="0"/>
        <v>-17435967.109999999</v>
      </c>
      <c r="J9" s="334">
        <f t="shared" si="1"/>
        <v>-0.38028281592148311</v>
      </c>
      <c r="K9" s="754"/>
    </row>
    <row r="10" spans="1:11" ht="12.75" customHeight="1">
      <c r="A10" s="87" t="str">
        <f>'C4-FinPerf RE'!A10</f>
        <v>Service charges - sanitation revenue</v>
      </c>
      <c r="B10" s="172"/>
      <c r="C10" s="767"/>
      <c r="D10" s="390">
        <v>20150000</v>
      </c>
      <c r="E10" s="391"/>
      <c r="F10" s="752">
        <v>2386160.2000000002</v>
      </c>
      <c r="G10" s="752">
        <f>4668706.47-186427.34+2394506.61+2432603.41+2456368.64+1340936.53+2386160.2</f>
        <v>15492854.52</v>
      </c>
      <c r="H10" s="391">
        <v>20150000</v>
      </c>
      <c r="I10" s="45">
        <f t="shared" si="0"/>
        <v>-4657145.4800000004</v>
      </c>
      <c r="J10" s="334">
        <f t="shared" si="1"/>
        <v>-0.23112384516129034</v>
      </c>
      <c r="K10" s="754"/>
    </row>
    <row r="11" spans="1:11" ht="12.75" customHeight="1">
      <c r="A11" s="87" t="str">
        <f>'C4-FinPerf RE'!A11</f>
        <v>Service charges - refuse revenue</v>
      </c>
      <c r="B11" s="172"/>
      <c r="C11" s="767"/>
      <c r="D11" s="390">
        <v>19266187.5</v>
      </c>
      <c r="E11" s="391"/>
      <c r="F11" s="752">
        <v>1771611.45</v>
      </c>
      <c r="G11" s="752">
        <f>1797568.66+1801247.16+1787055.66+1789394.53+1768632.99+790510.14+1771611.45</f>
        <v>11506020.59</v>
      </c>
      <c r="H11" s="391">
        <v>19266187.5</v>
      </c>
      <c r="I11" s="45">
        <f t="shared" si="0"/>
        <v>-7760166.9100000001</v>
      </c>
      <c r="J11" s="334">
        <f t="shared" si="1"/>
        <v>-0.40278684664519121</v>
      </c>
      <c r="K11" s="754"/>
    </row>
    <row r="12" spans="1:11" ht="12.75" customHeight="1">
      <c r="A12" s="87" t="str">
        <f>'C4-FinPerf RE'!A12</f>
        <v>Service charges - other</v>
      </c>
      <c r="B12" s="172"/>
      <c r="C12" s="767"/>
      <c r="D12" s="767">
        <v>42618000</v>
      </c>
      <c r="E12" s="391"/>
      <c r="F12" s="752">
        <f>1158170.28+2287132.34+24.64</f>
        <v>3445327.2600000002</v>
      </c>
      <c r="G12" s="752">
        <f>2180461.59+4021995.79+1828995.11+3740517.5+3794079.13+645476.91+1317854.16+3445327.26</f>
        <v>20974707.450000003</v>
      </c>
      <c r="H12" s="391">
        <v>42618000</v>
      </c>
      <c r="I12" s="45">
        <f t="shared" si="0"/>
        <v>-21643292.549999997</v>
      </c>
      <c r="J12" s="334">
        <f t="shared" si="1"/>
        <v>-0.50784392862170902</v>
      </c>
      <c r="K12" s="754"/>
    </row>
    <row r="13" spans="1:11" ht="12.75" customHeight="1">
      <c r="A13" s="87" t="str">
        <f>'C4-FinPerf RE'!A13</f>
        <v>Rental of facilities and equipment</v>
      </c>
      <c r="B13" s="172"/>
      <c r="C13" s="767"/>
      <c r="D13" s="390">
        <v>1200000</v>
      </c>
      <c r="E13" s="391"/>
      <c r="F13" s="752">
        <v>23745.13</v>
      </c>
      <c r="G13" s="752">
        <f>56489.87+83432.49+28974.09+24637.44+105282.79+321991.83+23745.13</f>
        <v>644553.64</v>
      </c>
      <c r="H13" s="391">
        <v>1200000</v>
      </c>
      <c r="I13" s="45">
        <f t="shared" si="0"/>
        <v>-555446.36</v>
      </c>
      <c r="J13" s="334">
        <f t="shared" si="1"/>
        <v>-0.46287196666666663</v>
      </c>
      <c r="K13" s="754"/>
    </row>
    <row r="14" spans="1:11" ht="12.75" customHeight="1">
      <c r="A14" s="87" t="str">
        <f>'C4-FinPerf RE'!A14</f>
        <v>Interest earned - external investments</v>
      </c>
      <c r="B14" s="172"/>
      <c r="C14" s="767"/>
      <c r="D14" s="390">
        <v>2423545</v>
      </c>
      <c r="E14" s="391"/>
      <c r="F14" s="752">
        <v>45483.64</v>
      </c>
      <c r="G14" s="752">
        <f>80781.65+266588.07+368208.19+190974.6+57030.62+49800.38+45483.64</f>
        <v>1058867.1499999999</v>
      </c>
      <c r="H14" s="391">
        <v>2423545</v>
      </c>
      <c r="I14" s="45">
        <f t="shared" si="0"/>
        <v>-1364677.85</v>
      </c>
      <c r="J14" s="334">
        <f t="shared" si="1"/>
        <v>-0.56309160754184473</v>
      </c>
      <c r="K14" s="754"/>
    </row>
    <row r="15" spans="1:11" ht="12.75" customHeight="1">
      <c r="A15" s="87" t="str">
        <f>'C4-FinPerf RE'!A15</f>
        <v>Interest earned - outstanding debtors</v>
      </c>
      <c r="B15" s="172"/>
      <c r="C15" s="767"/>
      <c r="D15" s="390">
        <v>17127000</v>
      </c>
      <c r="E15" s="391"/>
      <c r="F15" s="752">
        <v>1918483.19</v>
      </c>
      <c r="G15" s="752">
        <f>1748494.47+1811739.58+1845205.21+1867707.41+1866006.87+1899853.41+1918483.19</f>
        <v>12957490.139999999</v>
      </c>
      <c r="H15" s="391">
        <v>17127000</v>
      </c>
      <c r="I15" s="45">
        <f t="shared" si="0"/>
        <v>-4169509.8600000013</v>
      </c>
      <c r="J15" s="334">
        <f t="shared" si="1"/>
        <v>-0.2434465966018568</v>
      </c>
      <c r="K15" s="754"/>
    </row>
    <row r="16" spans="1:11" ht="12.75" customHeight="1">
      <c r="A16" s="87" t="str">
        <f>'C4-FinPerf RE'!A16</f>
        <v>Dividends received</v>
      </c>
      <c r="B16" s="172"/>
      <c r="C16" s="767"/>
      <c r="D16" s="390"/>
      <c r="E16" s="391"/>
      <c r="F16" s="752"/>
      <c r="G16" s="752"/>
      <c r="H16" s="391"/>
      <c r="I16" s="45">
        <f t="shared" si="0"/>
        <v>0</v>
      </c>
      <c r="J16" s="334" t="str">
        <f t="shared" si="1"/>
        <v/>
      </c>
      <c r="K16" s="754"/>
    </row>
    <row r="17" spans="1:11" ht="12.75" customHeight="1">
      <c r="A17" s="87" t="str">
        <f>'C4-FinPerf RE'!A17</f>
        <v>Fines</v>
      </c>
      <c r="B17" s="172"/>
      <c r="C17" s="767"/>
      <c r="D17" s="390">
        <v>3051000</v>
      </c>
      <c r="E17" s="391"/>
      <c r="F17" s="752">
        <v>40462.400000000001</v>
      </c>
      <c r="G17" s="752">
        <f>188758.38+108952.7+92704.7+36393.9+120810.1+47448.39+40462.4</f>
        <v>635530.57000000007</v>
      </c>
      <c r="H17" s="391">
        <v>3051000</v>
      </c>
      <c r="I17" s="45">
        <f t="shared" si="0"/>
        <v>-2415469.4299999997</v>
      </c>
      <c r="J17" s="334">
        <f t="shared" si="1"/>
        <v>-0.79169761717469678</v>
      </c>
      <c r="K17" s="754"/>
    </row>
    <row r="18" spans="1:11" ht="12.75" customHeight="1">
      <c r="A18" s="87" t="str">
        <f>'C4-FinPerf RE'!A18</f>
        <v>Licences and permits</v>
      </c>
      <c r="B18" s="172"/>
      <c r="C18" s="767"/>
      <c r="D18" s="390"/>
      <c r="E18" s="391"/>
      <c r="F18" s="752"/>
      <c r="G18" s="752"/>
      <c r="H18" s="391"/>
      <c r="I18" s="45">
        <f t="shared" si="0"/>
        <v>0</v>
      </c>
      <c r="J18" s="334" t="str">
        <f t="shared" si="1"/>
        <v/>
      </c>
      <c r="K18" s="754"/>
    </row>
    <row r="19" spans="1:11" ht="12.75" customHeight="1">
      <c r="A19" s="87" t="str">
        <f>'C4-FinPerf RE'!A19</f>
        <v>Agency services</v>
      </c>
      <c r="B19" s="172"/>
      <c r="C19" s="767"/>
      <c r="D19" s="390"/>
      <c r="E19" s="391"/>
      <c r="F19" s="752"/>
      <c r="G19" s="752"/>
      <c r="H19" s="391"/>
      <c r="I19" s="45">
        <f t="shared" si="0"/>
        <v>0</v>
      </c>
      <c r="J19" s="334" t="str">
        <f t="shared" si="1"/>
        <v/>
      </c>
      <c r="K19" s="754"/>
    </row>
    <row r="20" spans="1:11" ht="12.75" customHeight="1">
      <c r="A20" s="87" t="str">
        <f>'C4-FinPerf RE'!A20</f>
        <v>Transfers recognised - operational</v>
      </c>
      <c r="B20" s="172"/>
      <c r="C20" s="767"/>
      <c r="D20" s="390">
        <v>425760000</v>
      </c>
      <c r="E20" s="391"/>
      <c r="F20" s="752">
        <v>638416.67000000004</v>
      </c>
      <c r="G20" s="752">
        <f>144918000+800000+6198917+6476916.67+12953833.34+2553000+6476916.67+112662000+6476916.67+638416.67</f>
        <v>300154917.01999998</v>
      </c>
      <c r="H20" s="391">
        <v>425760000</v>
      </c>
      <c r="I20" s="45">
        <f t="shared" si="0"/>
        <v>-125605082.98000002</v>
      </c>
      <c r="J20" s="334">
        <f t="shared" si="1"/>
        <v>-0.2950138175967682</v>
      </c>
      <c r="K20" s="754"/>
    </row>
    <row r="21" spans="1:11" ht="12.75" customHeight="1">
      <c r="A21" s="87" t="str">
        <f>'C4-FinPerf RE'!A21</f>
        <v>Other revenue</v>
      </c>
      <c r="B21" s="172"/>
      <c r="C21" s="767"/>
      <c r="D21" s="390">
        <v>6010837.5</v>
      </c>
      <c r="E21" s="391"/>
      <c r="F21" s="752">
        <f>206151.76</f>
        <v>206151.76</v>
      </c>
      <c r="G21" s="752">
        <f>442558.82+243801.87+2450+855212.82+1000+399812.04+306626.32+350+337907.77+2500+237714.33+206151.76</f>
        <v>3036085.7299999995</v>
      </c>
      <c r="H21" s="391">
        <v>6010837.5</v>
      </c>
      <c r="I21" s="45">
        <f t="shared" si="0"/>
        <v>-2974751.7700000005</v>
      </c>
      <c r="J21" s="334">
        <f t="shared" si="1"/>
        <v>-0.49489805206013315</v>
      </c>
      <c r="K21" s="754"/>
    </row>
    <row r="22" spans="1:11" ht="12.75" customHeight="1">
      <c r="A22" s="40" t="str">
        <f>'C4-FinPerf RE'!A22</f>
        <v>Gains on disposal of PPE</v>
      </c>
      <c r="B22" s="170"/>
      <c r="C22" s="767"/>
      <c r="D22" s="390"/>
      <c r="E22" s="391"/>
      <c r="F22" s="752"/>
      <c r="G22" s="752"/>
      <c r="H22" s="391"/>
      <c r="I22" s="45">
        <f t="shared" si="0"/>
        <v>0</v>
      </c>
      <c r="J22" s="334" t="str">
        <f t="shared" si="1"/>
        <v/>
      </c>
      <c r="K22" s="754"/>
    </row>
    <row r="23" spans="1:11" ht="12.75" customHeight="1">
      <c r="A23" s="555" t="s">
        <v>152</v>
      </c>
      <c r="B23" s="555"/>
      <c r="C23" s="244">
        <f t="shared" ref="C23:H23" si="2">SUM(C6:C22)</f>
        <v>0</v>
      </c>
      <c r="D23" s="75">
        <f t="shared" si="2"/>
        <v>1153765478.04</v>
      </c>
      <c r="E23" s="74">
        <f t="shared" si="2"/>
        <v>0</v>
      </c>
      <c r="F23" s="74">
        <f t="shared" si="2"/>
        <v>43464774.000000007</v>
      </c>
      <c r="G23" s="74">
        <f t="shared" si="2"/>
        <v>609572957.57999992</v>
      </c>
      <c r="H23" s="74">
        <f t="shared" si="2"/>
        <v>1153765478.04</v>
      </c>
      <c r="I23" s="74">
        <f>G23-H23</f>
        <v>-544192520.46000004</v>
      </c>
      <c r="J23" s="335">
        <f t="shared" si="1"/>
        <v>-0.47166649619684098</v>
      </c>
      <c r="K23" s="146">
        <f>SUM(K6:K22)</f>
        <v>0</v>
      </c>
    </row>
    <row r="24" spans="1:11" ht="5.0999999999999996" customHeight="1">
      <c r="A24" s="43"/>
      <c r="B24" s="170"/>
      <c r="C24" s="135"/>
      <c r="D24" s="47"/>
      <c r="E24" s="45"/>
      <c r="F24" s="45"/>
      <c r="G24" s="45"/>
      <c r="H24" s="45"/>
      <c r="I24" s="45"/>
      <c r="J24" s="334"/>
      <c r="K24" s="145"/>
    </row>
    <row r="25" spans="1:11" ht="12.75" customHeight="1">
      <c r="A25" s="36" t="s">
        <v>601</v>
      </c>
      <c r="B25" s="176"/>
      <c r="C25" s="135"/>
      <c r="D25" s="47"/>
      <c r="E25" s="45"/>
      <c r="F25" s="45"/>
      <c r="G25" s="45"/>
      <c r="H25" s="45"/>
      <c r="I25" s="45"/>
      <c r="J25" s="334"/>
      <c r="K25" s="145"/>
    </row>
    <row r="26" spans="1:11" ht="12.75" customHeight="1">
      <c r="A26" s="40" t="str">
        <f>'C4-FinPerf RE'!A26</f>
        <v>Employee related costs</v>
      </c>
      <c r="B26" s="172"/>
      <c r="C26" s="767"/>
      <c r="D26" s="390">
        <v>275099686.49000001</v>
      </c>
      <c r="E26" s="391"/>
      <c r="F26" s="752">
        <f>13795844.2+2407408.47+5073932</f>
        <v>21277184.670000002</v>
      </c>
      <c r="G26" s="752">
        <f>13970688.32+4747005+14053559.24+2317487.05+6125147+12400566.17+2312691.86+5066617+13197241.17+2316222.38+5063757+13275882.39+2320169.58+5157689+13915429.09+2341057.29+5009346+13795844.2+2407408.47+5073932</f>
        <v>144867740.21000001</v>
      </c>
      <c r="H26" s="391">
        <v>275099686.49000001</v>
      </c>
      <c r="I26" s="45">
        <f t="shared" ref="I26:I45" si="3">G26-H26</f>
        <v>-130231946.28</v>
      </c>
      <c r="J26" s="334">
        <f t="shared" ref="J26:J45" si="4">IF(I26=0,"",I26/H26)</f>
        <v>-0.47339910830735893</v>
      </c>
      <c r="K26" s="390">
        <v>275099686.49000001</v>
      </c>
    </row>
    <row r="27" spans="1:11" ht="12.75" customHeight="1">
      <c r="A27" s="40" t="str">
        <f>'C4-FinPerf RE'!A27</f>
        <v>Remuneration of councillors</v>
      </c>
      <c r="B27" s="170"/>
      <c r="C27" s="767"/>
      <c r="D27" s="390">
        <v>24073709</v>
      </c>
      <c r="E27" s="391"/>
      <c r="F27" s="752">
        <v>1609174.06</v>
      </c>
      <c r="G27" s="752">
        <f>1457111.28+1457111.28+1457111.28+1457111.28+1465644.04+1609174.05+1609174.06</f>
        <v>10512437.270000001</v>
      </c>
      <c r="H27" s="391">
        <v>24073709</v>
      </c>
      <c r="I27" s="45">
        <f t="shared" si="3"/>
        <v>-13561271.729999999</v>
      </c>
      <c r="J27" s="334">
        <f t="shared" si="4"/>
        <v>-0.56332290674444885</v>
      </c>
      <c r="K27" s="390">
        <v>24073709</v>
      </c>
    </row>
    <row r="28" spans="1:11" ht="12.75" customHeight="1">
      <c r="A28" s="40" t="str">
        <f>'C4-FinPerf RE'!A28</f>
        <v>Debt impairment</v>
      </c>
      <c r="B28" s="172"/>
      <c r="C28" s="767"/>
      <c r="D28" s="390">
        <v>66594083.850000001</v>
      </c>
      <c r="E28" s="391"/>
      <c r="F28" s="752">
        <v>0</v>
      </c>
      <c r="G28" s="752">
        <v>0</v>
      </c>
      <c r="H28" s="391">
        <v>66594083.850000001</v>
      </c>
      <c r="I28" s="45">
        <f t="shared" si="3"/>
        <v>-66594083.850000001</v>
      </c>
      <c r="J28" s="334">
        <f t="shared" si="4"/>
        <v>-1</v>
      </c>
      <c r="K28" s="390">
        <v>66594083.850000001</v>
      </c>
    </row>
    <row r="29" spans="1:11" ht="12.75" customHeight="1">
      <c r="A29" s="40" t="str">
        <f>'C4-FinPerf RE'!A29</f>
        <v>Depreciation &amp; asset impairment</v>
      </c>
      <c r="B29" s="172"/>
      <c r="C29" s="767"/>
      <c r="D29" s="390">
        <v>49000000</v>
      </c>
      <c r="E29" s="391"/>
      <c r="F29" s="752">
        <v>0</v>
      </c>
      <c r="G29" s="752">
        <v>0</v>
      </c>
      <c r="H29" s="391">
        <v>49000000</v>
      </c>
      <c r="I29" s="45">
        <f t="shared" si="3"/>
        <v>-49000000</v>
      </c>
      <c r="J29" s="334">
        <f t="shared" si="4"/>
        <v>-1</v>
      </c>
      <c r="K29" s="390">
        <v>49000000</v>
      </c>
    </row>
    <row r="30" spans="1:11" ht="12.75" customHeight="1">
      <c r="A30" s="40" t="str">
        <f>'C4-FinPerf RE'!A30</f>
        <v>Finance charges</v>
      </c>
      <c r="B30" s="172"/>
      <c r="C30" s="767"/>
      <c r="D30" s="390">
        <v>16000000</v>
      </c>
      <c r="E30" s="391"/>
      <c r="F30" s="752">
        <v>265621.12</v>
      </c>
      <c r="G30" s="752">
        <f>263086.7+262391.97+234314.64+234314.64+2609974.38+265621.12</f>
        <v>3869703.45</v>
      </c>
      <c r="H30" s="391">
        <v>16000000</v>
      </c>
      <c r="I30" s="45">
        <f t="shared" si="3"/>
        <v>-12130296.550000001</v>
      </c>
      <c r="J30" s="334">
        <f t="shared" si="4"/>
        <v>-0.75814353437500004</v>
      </c>
      <c r="K30" s="390">
        <v>16000000</v>
      </c>
    </row>
    <row r="31" spans="1:11" ht="12.75" customHeight="1">
      <c r="A31" s="40" t="str">
        <f>'C4-FinPerf RE'!A31</f>
        <v>Bulk purchases</v>
      </c>
      <c r="B31" s="172"/>
      <c r="C31" s="767"/>
      <c r="D31" s="390">
        <v>310920000</v>
      </c>
      <c r="E31" s="391"/>
      <c r="F31" s="752">
        <f>4824561.4+6140350.88</f>
        <v>10964912.280000001</v>
      </c>
      <c r="G31" s="752">
        <f>15079679.44+30159358.88+10130752.17+24122807.01+23752315.68+58998359.27+4824561.4+6140350.88</f>
        <v>173208184.73000002</v>
      </c>
      <c r="H31" s="391">
        <v>310920000</v>
      </c>
      <c r="I31" s="45">
        <f t="shared" si="3"/>
        <v>-137711815.26999998</v>
      </c>
      <c r="J31" s="334">
        <f t="shared" si="4"/>
        <v>-0.44291719821819109</v>
      </c>
      <c r="K31" s="390">
        <v>310920000</v>
      </c>
    </row>
    <row r="32" spans="1:11" ht="12.75" customHeight="1">
      <c r="A32" s="40" t="str">
        <f>'C4-FinPerf RE'!A32</f>
        <v>Other materials</v>
      </c>
      <c r="B32" s="172"/>
      <c r="C32" s="767"/>
      <c r="D32" s="390"/>
      <c r="E32" s="391"/>
      <c r="F32" s="752"/>
      <c r="G32" s="752"/>
      <c r="H32" s="391"/>
      <c r="I32" s="45">
        <f t="shared" si="3"/>
        <v>0</v>
      </c>
      <c r="J32" s="334" t="str">
        <f t="shared" si="4"/>
        <v/>
      </c>
      <c r="K32" s="390"/>
    </row>
    <row r="33" spans="1:11" ht="12.75" customHeight="1">
      <c r="A33" s="40" t="str">
        <f>'C4-FinPerf RE'!A33</f>
        <v>Contracted services</v>
      </c>
      <c r="B33" s="172"/>
      <c r="C33" s="767"/>
      <c r="D33" s="390">
        <v>74785000</v>
      </c>
      <c r="E33" s="391"/>
      <c r="F33" s="752">
        <v>4625803.3099999996</v>
      </c>
      <c r="G33" s="752">
        <f>7832334.24+3130098.56+11257041.9+14176408.02+22933058.38+5011125.51+4625803.31</f>
        <v>68965869.919999987</v>
      </c>
      <c r="H33" s="391">
        <v>74785000</v>
      </c>
      <c r="I33" s="45">
        <f t="shared" si="3"/>
        <v>-5819130.0800000131</v>
      </c>
      <c r="J33" s="334">
        <f t="shared" si="4"/>
        <v>-7.7811460587016282E-2</v>
      </c>
      <c r="K33" s="390">
        <v>74785000</v>
      </c>
    </row>
    <row r="34" spans="1:11" ht="12.75" customHeight="1">
      <c r="A34" s="40" t="str">
        <f>'C4-FinPerf RE'!A34</f>
        <v>Transfers and grants</v>
      </c>
      <c r="B34" s="172"/>
      <c r="C34" s="767"/>
      <c r="D34" s="390">
        <v>77723300</v>
      </c>
      <c r="E34" s="391"/>
      <c r="F34" s="752">
        <v>638416.67000000004</v>
      </c>
      <c r="G34" s="752">
        <f>6198917+6476916.67+12953833.34+6476916.67+6476916.67+638416.67</f>
        <v>39221917.020000003</v>
      </c>
      <c r="H34" s="391">
        <v>77723300</v>
      </c>
      <c r="I34" s="45">
        <f t="shared" si="3"/>
        <v>-38501382.979999997</v>
      </c>
      <c r="J34" s="334">
        <f t="shared" si="4"/>
        <v>-0.49536474879476294</v>
      </c>
      <c r="K34" s="390">
        <v>77723300</v>
      </c>
    </row>
    <row r="35" spans="1:11" ht="12.75" customHeight="1">
      <c r="A35" s="40" t="str">
        <f>'C4-FinPerf RE'!A35</f>
        <v>Other expenditure</v>
      </c>
      <c r="B35" s="172"/>
      <c r="C35" s="767"/>
      <c r="D35" s="390">
        <v>258951987.52000001</v>
      </c>
      <c r="E35" s="391"/>
      <c r="F35" s="752">
        <f>15591194.95+2132844.68+485139.03+959626.97+59502.48+1031199+1872695+653292+1622657</f>
        <v>24408151.109999999</v>
      </c>
      <c r="G35" s="752">
        <f>4854623.89+2091049+385227+1559496+15440000+1137239+989089+1554907+21304340.23+6024911.33+496761.93+417541.16+87536.45+1825991+889595+2268169+7504568.6+2019316.19+492087.23+189268.48+222945.3+1735926+1367189+244193+1537929+8574471.76+10276777.82+455615.72+1534786.68+81710+169500+2187155+1589267+154241+2698233+20647568.2+3992828.15+556070.79+298288.77+364720+3943863+15591194.95+2132844.68+485139.03+959626.97+59502.48+1031199+1872695+653292+1622657</f>
        <v>158573147.79000002</v>
      </c>
      <c r="H35" s="391">
        <v>258951987.52000001</v>
      </c>
      <c r="I35" s="45">
        <f t="shared" si="3"/>
        <v>-100378839.72999999</v>
      </c>
      <c r="J35" s="334">
        <f t="shared" si="4"/>
        <v>-0.38763494612006905</v>
      </c>
      <c r="K35" s="390">
        <v>258951987.52000001</v>
      </c>
    </row>
    <row r="36" spans="1:11" ht="12.75" customHeight="1">
      <c r="A36" s="40" t="str">
        <f>'C4-FinPerf RE'!A36</f>
        <v>Loss on disposal of PPE</v>
      </c>
      <c r="B36" s="170"/>
      <c r="C36" s="767"/>
      <c r="D36" s="390"/>
      <c r="E36" s="391"/>
      <c r="F36" s="752"/>
      <c r="G36" s="752"/>
      <c r="H36" s="391"/>
      <c r="I36" s="45">
        <f t="shared" si="3"/>
        <v>0</v>
      </c>
      <c r="J36" s="334" t="str">
        <f t="shared" si="4"/>
        <v/>
      </c>
      <c r="K36" s="390"/>
    </row>
    <row r="37" spans="1:11" ht="12.75" customHeight="1">
      <c r="A37" s="354" t="s">
        <v>602</v>
      </c>
      <c r="B37" s="582"/>
      <c r="C37" s="244">
        <f t="shared" ref="C37:H37" si="5">SUM(C26:C36)</f>
        <v>0</v>
      </c>
      <c r="D37" s="75">
        <f t="shared" si="5"/>
        <v>1153147766.8600001</v>
      </c>
      <c r="E37" s="74">
        <f t="shared" si="5"/>
        <v>0</v>
      </c>
      <c r="F37" s="74">
        <f t="shared" si="5"/>
        <v>63789263.220000006</v>
      </c>
      <c r="G37" s="74">
        <f t="shared" si="5"/>
        <v>599219000.3900001</v>
      </c>
      <c r="H37" s="74">
        <f t="shared" si="5"/>
        <v>1153147766.8600001</v>
      </c>
      <c r="I37" s="74">
        <f t="shared" si="3"/>
        <v>-553928766.47000003</v>
      </c>
      <c r="J37" s="335">
        <f t="shared" si="4"/>
        <v>-0.48036234591021904</v>
      </c>
      <c r="K37" s="146">
        <f>SUM(K26:K36)</f>
        <v>1153147766.8600001</v>
      </c>
    </row>
    <row r="38" spans="1:11" ht="5.0999999999999996" customHeight="1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4"/>
      <c r="K38" s="145"/>
    </row>
    <row r="39" spans="1:11" ht="12.75" customHeight="1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617711.17999982834</v>
      </c>
      <c r="E39" s="45">
        <f t="shared" si="6"/>
        <v>0</v>
      </c>
      <c r="F39" s="45">
        <f t="shared" si="6"/>
        <v>-20324489.219999999</v>
      </c>
      <c r="G39" s="45">
        <f t="shared" si="6"/>
        <v>10353957.189999819</v>
      </c>
      <c r="H39" s="45">
        <f t="shared" si="6"/>
        <v>617711.17999982834</v>
      </c>
      <c r="I39" s="45">
        <f t="shared" si="3"/>
        <v>9736246.0099999905</v>
      </c>
      <c r="J39" s="334">
        <f t="shared" si="4"/>
        <v>15.761809604939797</v>
      </c>
      <c r="K39" s="145">
        <f>K23-K37</f>
        <v>-1153147766.8600001</v>
      </c>
    </row>
    <row r="40" spans="1:11" ht="12.75" customHeight="1">
      <c r="A40" s="40" t="str">
        <f>'C4-FinPerf RE'!A40</f>
        <v>Transfers recognised - capital</v>
      </c>
      <c r="B40" s="170"/>
      <c r="C40" s="767"/>
      <c r="D40" s="390">
        <v>394023759</v>
      </c>
      <c r="E40" s="391"/>
      <c r="F40" s="752">
        <v>29640782.030000001</v>
      </c>
      <c r="G40" s="752">
        <v>94634695.910000011</v>
      </c>
      <c r="H40" s="391">
        <v>394023759</v>
      </c>
      <c r="I40" s="45">
        <f t="shared" si="3"/>
        <v>-299389063.08999997</v>
      </c>
      <c r="J40" s="334">
        <f t="shared" si="4"/>
        <v>-0.75982489951830534</v>
      </c>
      <c r="K40" s="390">
        <v>394023759</v>
      </c>
    </row>
    <row r="41" spans="1:11" ht="12.75" customHeight="1">
      <c r="A41" s="40" t="str">
        <f>'C4-FinPerf RE'!A41</f>
        <v>Contributions recognised - capital</v>
      </c>
      <c r="B41" s="170"/>
      <c r="C41" s="767"/>
      <c r="D41" s="390"/>
      <c r="E41" s="391"/>
      <c r="F41" s="391"/>
      <c r="G41" s="391"/>
      <c r="H41" s="391"/>
      <c r="I41" s="45">
        <f t="shared" si="3"/>
        <v>0</v>
      </c>
      <c r="J41" s="334" t="str">
        <f t="shared" si="4"/>
        <v/>
      </c>
      <c r="K41" s="390"/>
    </row>
    <row r="42" spans="1:11" ht="12.75" customHeight="1">
      <c r="A42" s="40" t="str">
        <f>'C4-FinPerf RE'!A42</f>
        <v>Contributed assets</v>
      </c>
      <c r="B42" s="170"/>
      <c r="C42" s="767"/>
      <c r="D42" s="390"/>
      <c r="E42" s="391"/>
      <c r="F42" s="391"/>
      <c r="G42" s="391"/>
      <c r="H42" s="391"/>
      <c r="I42" s="45">
        <f t="shared" si="3"/>
        <v>0</v>
      </c>
      <c r="J42" s="334" t="str">
        <f t="shared" si="4"/>
        <v/>
      </c>
      <c r="K42" s="390"/>
    </row>
    <row r="43" spans="1:11" ht="25.5">
      <c r="A43" s="583" t="str">
        <f>'C4-FinPerf RE'!A43</f>
        <v>Surplus/(Deficit) after capital transfers &amp; contributions</v>
      </c>
      <c r="B43" s="313"/>
      <c r="C43" s="584">
        <f>C39+SUM(C40:C42)</f>
        <v>0</v>
      </c>
      <c r="D43" s="585">
        <f t="shared" ref="D43:K43" si="7">D39+SUM(D40:D42)</f>
        <v>394641470.17999983</v>
      </c>
      <c r="E43" s="521">
        <f t="shared" si="7"/>
        <v>0</v>
      </c>
      <c r="F43" s="521">
        <f t="shared" si="7"/>
        <v>9316292.8100000024</v>
      </c>
      <c r="G43" s="521">
        <f t="shared" si="7"/>
        <v>104988653.09999983</v>
      </c>
      <c r="H43" s="521">
        <f t="shared" si="7"/>
        <v>394641470.17999983</v>
      </c>
      <c r="I43" s="521">
        <f t="shared" si="3"/>
        <v>-289652817.07999998</v>
      </c>
      <c r="J43" s="522">
        <f t="shared" si="4"/>
        <v>-0.73396446893400868</v>
      </c>
      <c r="K43" s="586">
        <f t="shared" si="7"/>
        <v>-759124007.86000013</v>
      </c>
    </row>
    <row r="44" spans="1:11" ht="12.75" customHeight="1">
      <c r="A44" s="112" t="str">
        <f>'C4-FinPerf RE'!A44</f>
        <v>Taxation</v>
      </c>
      <c r="B44" s="170"/>
      <c r="C44" s="767"/>
      <c r="D44" s="764"/>
      <c r="E44" s="752"/>
      <c r="F44" s="752"/>
      <c r="G44" s="752"/>
      <c r="H44" s="752"/>
      <c r="I44" s="45">
        <f t="shared" si="3"/>
        <v>0</v>
      </c>
      <c r="J44" s="334" t="str">
        <f t="shared" si="4"/>
        <v/>
      </c>
      <c r="K44" s="754"/>
    </row>
    <row r="45" spans="1:11" ht="12.75" customHeight="1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394641470.17999983</v>
      </c>
      <c r="E45" s="56">
        <f t="shared" si="8"/>
        <v>0</v>
      </c>
      <c r="F45" s="56">
        <f t="shared" si="8"/>
        <v>9316292.8100000024</v>
      </c>
      <c r="G45" s="56">
        <f t="shared" si="8"/>
        <v>104988653.09999983</v>
      </c>
      <c r="H45" s="56">
        <f t="shared" si="8"/>
        <v>394641470.17999983</v>
      </c>
      <c r="I45" s="56">
        <f t="shared" si="3"/>
        <v>-289652817.07999998</v>
      </c>
      <c r="J45" s="336">
        <f t="shared" si="4"/>
        <v>-0.73396446893400868</v>
      </c>
      <c r="K45" s="236">
        <f>K43-K44</f>
        <v>-759124007.86000013</v>
      </c>
    </row>
    <row r="46" spans="1:11" ht="12.75" customHeight="1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>
      <c r="A47" s="81" t="s">
        <v>778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>
      <c r="B50" s="25"/>
    </row>
    <row r="51" spans="1:11" ht="12.75" customHeight="1">
      <c r="B51" s="25"/>
    </row>
    <row r="52" spans="1:11" ht="12.75" customHeight="1">
      <c r="B52" s="25"/>
    </row>
    <row r="53" spans="1:11" ht="12.75" customHeight="1">
      <c r="B53" s="25"/>
    </row>
    <row r="54" spans="1:11" ht="12.75" customHeight="1">
      <c r="B54" s="25"/>
    </row>
    <row r="55" spans="1:11" ht="12.75" customHeight="1">
      <c r="B55" s="25"/>
    </row>
    <row r="56" spans="1:11" ht="12.75" customHeight="1">
      <c r="B56" s="25"/>
    </row>
    <row r="57" spans="1:11" ht="11.25" customHeight="1">
      <c r="B57" s="25"/>
    </row>
    <row r="58" spans="1:11" ht="11.25" customHeight="1">
      <c r="B58" s="25"/>
    </row>
    <row r="59" spans="1:11" ht="11.25" customHeight="1">
      <c r="B59" s="25"/>
    </row>
    <row r="60" spans="1:11" ht="11.25" customHeight="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/>
    <row r="84" spans="2:2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20" sqref="G20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994" t="str">
        <f>muni&amp; " - "&amp;S71Q&amp; " - "&amp;Head57</f>
        <v>FS194 Maluti-a-Phofung - Supporting Table SC11 Monthly Budget Statement - summary of municipal entities - M07 January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</row>
    <row r="2" spans="1:11">
      <c r="A2" s="983" t="str">
        <f>desc</f>
        <v>Description</v>
      </c>
      <c r="B2" s="976" t="str">
        <f>head27</f>
        <v>Ref</v>
      </c>
      <c r="C2" s="159" t="str">
        <f>Head1</f>
        <v>2012/13</v>
      </c>
      <c r="D2" s="978" t="str">
        <f>Head2</f>
        <v>Budget Year 2013/14</v>
      </c>
      <c r="E2" s="979"/>
      <c r="F2" s="979"/>
      <c r="G2" s="979"/>
      <c r="H2" s="979"/>
      <c r="I2" s="979"/>
      <c r="J2" s="979"/>
      <c r="K2" s="980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25" t="s">
        <v>821</v>
      </c>
      <c r="B4" s="249"/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137" t="s">
        <v>696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>
      <c r="A6" s="803" t="s">
        <v>87</v>
      </c>
      <c r="B6" s="170"/>
      <c r="C6" s="767"/>
      <c r="D6" s="772">
        <v>120341000</v>
      </c>
      <c r="E6" s="391"/>
      <c r="F6" s="391">
        <v>638416.67000000004</v>
      </c>
      <c r="G6" s="391">
        <f>6198917+6476916.67+12953833.34+6476916.67+6476916.67+638416.67</f>
        <v>39221917.020000003</v>
      </c>
      <c r="H6" s="391">
        <v>120341000</v>
      </c>
      <c r="I6" s="45">
        <f t="shared" ref="I6:I41" si="0">G6-H6</f>
        <v>-81119082.979999989</v>
      </c>
      <c r="J6" s="334">
        <f>IF(I6=0,"",I6/H6)</f>
        <v>-0.67407685643296955</v>
      </c>
      <c r="K6" s="772">
        <v>120341000</v>
      </c>
    </row>
    <row r="7" spans="1:11" ht="12.75" customHeight="1">
      <c r="A7" s="786"/>
      <c r="B7" s="170"/>
      <c r="C7" s="767"/>
      <c r="D7" s="772"/>
      <c r="E7" s="752"/>
      <c r="F7" s="752"/>
      <c r="G7" s="752"/>
      <c r="H7" s="752"/>
      <c r="I7" s="45">
        <f t="shared" si="0"/>
        <v>0</v>
      </c>
      <c r="J7" s="334" t="str">
        <f t="shared" ref="J7:J16" si="1">IF(I7=0,"",I7/H7)</f>
        <v/>
      </c>
      <c r="K7" s="754"/>
    </row>
    <row r="8" spans="1:11" ht="12.75" customHeight="1">
      <c r="A8" s="786"/>
      <c r="B8" s="170"/>
      <c r="C8" s="767"/>
      <c r="D8" s="772"/>
      <c r="E8" s="752"/>
      <c r="F8" s="752"/>
      <c r="G8" s="752"/>
      <c r="H8" s="752"/>
      <c r="I8" s="45">
        <f t="shared" si="0"/>
        <v>0</v>
      </c>
      <c r="J8" s="334" t="str">
        <f t="shared" si="1"/>
        <v/>
      </c>
      <c r="K8" s="754"/>
    </row>
    <row r="9" spans="1:11" ht="12.75" customHeight="1">
      <c r="A9" s="786"/>
      <c r="B9" s="170"/>
      <c r="C9" s="767"/>
      <c r="D9" s="772"/>
      <c r="E9" s="752"/>
      <c r="F9" s="752"/>
      <c r="G9" s="752"/>
      <c r="H9" s="752"/>
      <c r="I9" s="45">
        <f t="shared" si="0"/>
        <v>0</v>
      </c>
      <c r="J9" s="334" t="str">
        <f t="shared" si="1"/>
        <v/>
      </c>
      <c r="K9" s="754"/>
    </row>
    <row r="10" spans="1:11" ht="12.75" customHeight="1">
      <c r="A10" s="786"/>
      <c r="B10" s="170"/>
      <c r="C10" s="767"/>
      <c r="D10" s="772"/>
      <c r="E10" s="752"/>
      <c r="F10" s="752"/>
      <c r="G10" s="752"/>
      <c r="H10" s="752"/>
      <c r="I10" s="45">
        <f t="shared" si="0"/>
        <v>0</v>
      </c>
      <c r="J10" s="334" t="str">
        <f t="shared" si="1"/>
        <v/>
      </c>
      <c r="K10" s="754"/>
    </row>
    <row r="11" spans="1:11" ht="12.75" customHeight="1">
      <c r="A11" s="786"/>
      <c r="B11" s="170"/>
      <c r="C11" s="767"/>
      <c r="D11" s="772"/>
      <c r="E11" s="752"/>
      <c r="F11" s="752"/>
      <c r="G11" s="752"/>
      <c r="H11" s="752"/>
      <c r="I11" s="45">
        <f t="shared" si="0"/>
        <v>0</v>
      </c>
      <c r="J11" s="334" t="str">
        <f t="shared" si="1"/>
        <v/>
      </c>
      <c r="K11" s="754"/>
    </row>
    <row r="12" spans="1:11" ht="12.75" customHeight="1">
      <c r="A12" s="786"/>
      <c r="B12" s="170"/>
      <c r="C12" s="767"/>
      <c r="D12" s="772"/>
      <c r="E12" s="752"/>
      <c r="F12" s="752"/>
      <c r="G12" s="752"/>
      <c r="H12" s="752"/>
      <c r="I12" s="45">
        <f t="shared" si="0"/>
        <v>0</v>
      </c>
      <c r="J12" s="334" t="str">
        <f t="shared" si="1"/>
        <v/>
      </c>
      <c r="K12" s="754"/>
    </row>
    <row r="13" spans="1:11" ht="12.75" customHeight="1">
      <c r="A13" s="786"/>
      <c r="B13" s="170"/>
      <c r="C13" s="767"/>
      <c r="D13" s="772"/>
      <c r="E13" s="752"/>
      <c r="F13" s="752"/>
      <c r="G13" s="752"/>
      <c r="H13" s="752"/>
      <c r="I13" s="45">
        <f t="shared" si="0"/>
        <v>0</v>
      </c>
      <c r="J13" s="334" t="str">
        <f t="shared" si="1"/>
        <v/>
      </c>
      <c r="K13" s="754"/>
    </row>
    <row r="14" spans="1:11" ht="12.75" customHeight="1">
      <c r="A14" s="786"/>
      <c r="B14" s="170"/>
      <c r="C14" s="767"/>
      <c r="D14" s="772"/>
      <c r="E14" s="752"/>
      <c r="F14" s="752"/>
      <c r="G14" s="752"/>
      <c r="H14" s="752"/>
      <c r="I14" s="45">
        <f t="shared" si="0"/>
        <v>0</v>
      </c>
      <c r="J14" s="334" t="str">
        <f t="shared" si="1"/>
        <v/>
      </c>
      <c r="K14" s="754"/>
    </row>
    <row r="15" spans="1:11" ht="12.75" customHeight="1">
      <c r="A15" s="786"/>
      <c r="B15" s="170"/>
      <c r="C15" s="767"/>
      <c r="D15" s="772"/>
      <c r="E15" s="752"/>
      <c r="F15" s="752"/>
      <c r="G15" s="752"/>
      <c r="H15" s="752"/>
      <c r="I15" s="45">
        <f t="shared" si="0"/>
        <v>0</v>
      </c>
      <c r="J15" s="334" t="str">
        <f t="shared" si="1"/>
        <v/>
      </c>
      <c r="K15" s="754"/>
    </row>
    <row r="16" spans="1:11" ht="12.75" customHeight="1">
      <c r="A16" s="93" t="s">
        <v>681</v>
      </c>
      <c r="B16" s="234">
        <v>1</v>
      </c>
      <c r="C16" s="244">
        <f t="shared" ref="C16:H16" si="2">SUM(C6:C15)</f>
        <v>0</v>
      </c>
      <c r="D16" s="261">
        <f t="shared" si="2"/>
        <v>120341000</v>
      </c>
      <c r="E16" s="74">
        <f t="shared" si="2"/>
        <v>0</v>
      </c>
      <c r="F16" s="74">
        <f t="shared" si="2"/>
        <v>638416.67000000004</v>
      </c>
      <c r="G16" s="74">
        <f t="shared" si="2"/>
        <v>39221917.020000003</v>
      </c>
      <c r="H16" s="74">
        <f t="shared" si="2"/>
        <v>120341000</v>
      </c>
      <c r="I16" s="74">
        <f t="shared" si="0"/>
        <v>-81119082.979999989</v>
      </c>
      <c r="J16" s="335">
        <f t="shared" si="1"/>
        <v>-0.67407685643296955</v>
      </c>
      <c r="K16" s="146">
        <f>SUM(K6:K15)</f>
        <v>120341000</v>
      </c>
    </row>
    <row r="17" spans="1:11" ht="5.0999999999999996" customHeight="1">
      <c r="A17" s="43"/>
      <c r="B17" s="170"/>
      <c r="C17" s="135"/>
      <c r="D17" s="259"/>
      <c r="E17" s="45"/>
      <c r="F17" s="45"/>
      <c r="G17" s="45"/>
      <c r="H17" s="45"/>
      <c r="I17" s="45"/>
      <c r="J17" s="334"/>
      <c r="K17" s="145"/>
    </row>
    <row r="18" spans="1:11" ht="12.75" customHeight="1">
      <c r="A18" s="36" t="s">
        <v>695</v>
      </c>
      <c r="B18" s="176"/>
      <c r="C18" s="135"/>
      <c r="D18" s="259"/>
      <c r="E18" s="45"/>
      <c r="F18" s="45"/>
      <c r="G18" s="45"/>
      <c r="H18" s="45"/>
      <c r="I18" s="45"/>
      <c r="J18" s="334"/>
      <c r="K18" s="145"/>
    </row>
    <row r="19" spans="1:11" ht="12.75" customHeight="1">
      <c r="A19" s="803" t="str">
        <f>A6</f>
        <v>Insert name of municipal entity</v>
      </c>
      <c r="B19" s="172"/>
      <c r="C19" s="767"/>
      <c r="D19" s="772">
        <v>120341000</v>
      </c>
      <c r="E19" s="391"/>
      <c r="F19" s="479">
        <v>10253775</v>
      </c>
      <c r="G19" s="391">
        <f>8782777+9806383+10050372+9948994+11786586+8953209+10253775</f>
        <v>69582096</v>
      </c>
      <c r="H19" s="391">
        <v>120341000</v>
      </c>
      <c r="I19" s="45">
        <f t="shared" si="0"/>
        <v>-50758904</v>
      </c>
      <c r="J19" s="334">
        <f t="shared" ref="J19:J43" si="3">IF(I19=0,"",I19/H19)</f>
        <v>-0.42179227362245619</v>
      </c>
      <c r="K19" s="772">
        <v>120341000</v>
      </c>
    </row>
    <row r="20" spans="1:11" ht="12.75" customHeight="1">
      <c r="A20" s="786" t="str">
        <f>IF(A7="","",A7)</f>
        <v/>
      </c>
      <c r="B20" s="172"/>
      <c r="C20" s="767"/>
      <c r="D20" s="772"/>
      <c r="E20" s="752"/>
      <c r="F20" s="752"/>
      <c r="G20" s="752"/>
      <c r="H20" s="752"/>
      <c r="I20" s="45">
        <f t="shared" si="0"/>
        <v>0</v>
      </c>
      <c r="J20" s="334" t="str">
        <f t="shared" si="3"/>
        <v/>
      </c>
      <c r="K20" s="772"/>
    </row>
    <row r="21" spans="1:11" ht="12.75" customHeight="1">
      <c r="A21" s="786" t="str">
        <f t="shared" ref="A21:A28" si="4">IF(A8="","",A8)</f>
        <v/>
      </c>
      <c r="B21" s="172"/>
      <c r="C21" s="767"/>
      <c r="D21" s="772"/>
      <c r="E21" s="752"/>
      <c r="F21" s="752"/>
      <c r="G21" s="752"/>
      <c r="H21" s="752"/>
      <c r="I21" s="45">
        <f t="shared" si="0"/>
        <v>0</v>
      </c>
      <c r="J21" s="334" t="str">
        <f t="shared" si="3"/>
        <v/>
      </c>
      <c r="K21" s="772"/>
    </row>
    <row r="22" spans="1:11" ht="12.75" customHeight="1">
      <c r="A22" s="786" t="str">
        <f t="shared" si="4"/>
        <v/>
      </c>
      <c r="B22" s="172"/>
      <c r="C22" s="767"/>
      <c r="D22" s="772"/>
      <c r="E22" s="752"/>
      <c r="F22" s="752"/>
      <c r="G22" s="752"/>
      <c r="H22" s="752"/>
      <c r="I22" s="45">
        <f t="shared" si="0"/>
        <v>0</v>
      </c>
      <c r="J22" s="334" t="str">
        <f t="shared" si="3"/>
        <v/>
      </c>
      <c r="K22" s="772"/>
    </row>
    <row r="23" spans="1:11" ht="12.75" customHeight="1">
      <c r="A23" s="786" t="str">
        <f t="shared" si="4"/>
        <v/>
      </c>
      <c r="B23" s="172"/>
      <c r="C23" s="767"/>
      <c r="D23" s="772"/>
      <c r="E23" s="752"/>
      <c r="F23" s="752"/>
      <c r="G23" s="752"/>
      <c r="H23" s="752"/>
      <c r="I23" s="45">
        <f t="shared" si="0"/>
        <v>0</v>
      </c>
      <c r="J23" s="334" t="str">
        <f t="shared" si="3"/>
        <v/>
      </c>
      <c r="K23" s="772"/>
    </row>
    <row r="24" spans="1:11" ht="12.75" customHeight="1">
      <c r="A24" s="786" t="str">
        <f t="shared" si="4"/>
        <v/>
      </c>
      <c r="B24" s="172"/>
      <c r="C24" s="767"/>
      <c r="D24" s="772"/>
      <c r="E24" s="752"/>
      <c r="F24" s="752"/>
      <c r="G24" s="752"/>
      <c r="H24" s="752"/>
      <c r="I24" s="45">
        <f t="shared" si="0"/>
        <v>0</v>
      </c>
      <c r="J24" s="334" t="str">
        <f t="shared" si="3"/>
        <v/>
      </c>
      <c r="K24" s="772"/>
    </row>
    <row r="25" spans="1:11" ht="12.75" customHeight="1">
      <c r="A25" s="786" t="str">
        <f t="shared" si="4"/>
        <v/>
      </c>
      <c r="B25" s="172"/>
      <c r="C25" s="767"/>
      <c r="D25" s="772"/>
      <c r="E25" s="752"/>
      <c r="F25" s="752"/>
      <c r="G25" s="752"/>
      <c r="H25" s="752"/>
      <c r="I25" s="45">
        <f t="shared" si="0"/>
        <v>0</v>
      </c>
      <c r="J25" s="334" t="str">
        <f t="shared" si="3"/>
        <v/>
      </c>
      <c r="K25" s="772"/>
    </row>
    <row r="26" spans="1:11" ht="12.75" customHeight="1">
      <c r="A26" s="786" t="str">
        <f t="shared" si="4"/>
        <v/>
      </c>
      <c r="B26" s="172"/>
      <c r="C26" s="767"/>
      <c r="D26" s="772"/>
      <c r="E26" s="752"/>
      <c r="F26" s="752"/>
      <c r="G26" s="752"/>
      <c r="H26" s="752"/>
      <c r="I26" s="45">
        <f t="shared" si="0"/>
        <v>0</v>
      </c>
      <c r="J26" s="334" t="str">
        <f t="shared" si="3"/>
        <v/>
      </c>
      <c r="K26" s="772"/>
    </row>
    <row r="27" spans="1:11" ht="12.75" customHeight="1">
      <c r="A27" s="786" t="str">
        <f t="shared" si="4"/>
        <v/>
      </c>
      <c r="B27" s="172"/>
      <c r="C27" s="767"/>
      <c r="D27" s="772"/>
      <c r="E27" s="752"/>
      <c r="F27" s="752"/>
      <c r="G27" s="752"/>
      <c r="H27" s="752"/>
      <c r="I27" s="45">
        <f t="shared" si="0"/>
        <v>0</v>
      </c>
      <c r="J27" s="334" t="str">
        <f t="shared" si="3"/>
        <v/>
      </c>
      <c r="K27" s="772"/>
    </row>
    <row r="28" spans="1:11" ht="12.75" customHeight="1">
      <c r="A28" s="786" t="str">
        <f t="shared" si="4"/>
        <v/>
      </c>
      <c r="B28" s="172"/>
      <c r="C28" s="767"/>
      <c r="D28" s="772"/>
      <c r="E28" s="752"/>
      <c r="F28" s="752"/>
      <c r="G28" s="752"/>
      <c r="H28" s="752"/>
      <c r="I28" s="45">
        <f t="shared" si="0"/>
        <v>0</v>
      </c>
      <c r="J28" s="334" t="str">
        <f t="shared" si="3"/>
        <v/>
      </c>
      <c r="K28" s="772"/>
    </row>
    <row r="29" spans="1:11" ht="12.75" customHeight="1">
      <c r="A29" s="93" t="s">
        <v>1094</v>
      </c>
      <c r="B29" s="234">
        <v>2</v>
      </c>
      <c r="C29" s="244">
        <f t="shared" ref="C29:H29" si="5">SUM(C19:C28)</f>
        <v>0</v>
      </c>
      <c r="D29" s="261">
        <f t="shared" si="5"/>
        <v>120341000</v>
      </c>
      <c r="E29" s="74">
        <f t="shared" si="5"/>
        <v>0</v>
      </c>
      <c r="F29" s="74">
        <f t="shared" si="5"/>
        <v>10253775</v>
      </c>
      <c r="G29" s="74">
        <f t="shared" si="5"/>
        <v>69582096</v>
      </c>
      <c r="H29" s="74">
        <f t="shared" si="5"/>
        <v>120341000</v>
      </c>
      <c r="I29" s="74">
        <f t="shared" si="0"/>
        <v>-50758904</v>
      </c>
      <c r="J29" s="335">
        <f t="shared" si="3"/>
        <v>-0.42179227362245619</v>
      </c>
      <c r="K29" s="146">
        <f>SUM(K19:K28)</f>
        <v>120341000</v>
      </c>
    </row>
    <row r="30" spans="1:11" ht="5.0999999999999996" customHeight="1">
      <c r="A30" s="43"/>
      <c r="B30" s="170"/>
      <c r="C30" s="135"/>
      <c r="D30" s="259"/>
      <c r="E30" s="45"/>
      <c r="F30" s="45"/>
      <c r="G30" s="45"/>
      <c r="H30" s="45"/>
      <c r="I30" s="45"/>
      <c r="J30" s="334" t="str">
        <f t="shared" si="3"/>
        <v/>
      </c>
      <c r="K30" s="145"/>
    </row>
    <row r="31" spans="1:11" ht="12.75" customHeight="1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-9615358.3300000001</v>
      </c>
      <c r="G31" s="45">
        <f t="shared" si="6"/>
        <v>-30360178.979999997</v>
      </c>
      <c r="H31" s="45">
        <f t="shared" si="6"/>
        <v>0</v>
      </c>
      <c r="I31" s="45">
        <f>I16+I29</f>
        <v>-131877986.97999999</v>
      </c>
      <c r="J31" s="334" t="e">
        <f t="shared" si="3"/>
        <v>#DIV/0!</v>
      </c>
      <c r="K31" s="145">
        <f t="shared" si="6"/>
        <v>0</v>
      </c>
    </row>
    <row r="32" spans="1:11" ht="12.75" customHeight="1">
      <c r="A32" s="36" t="s">
        <v>995</v>
      </c>
      <c r="B32" s="172"/>
      <c r="C32" s="135"/>
      <c r="D32" s="259"/>
      <c r="E32" s="45"/>
      <c r="F32" s="45"/>
      <c r="G32" s="45"/>
      <c r="H32" s="45"/>
      <c r="I32" s="45"/>
      <c r="J32" s="334"/>
      <c r="K32" s="145"/>
    </row>
    <row r="33" spans="1:11" ht="12.75" customHeight="1">
      <c r="A33" s="803" t="str">
        <f>$A$6</f>
        <v>Insert name of municipal entity</v>
      </c>
      <c r="B33" s="172"/>
      <c r="C33" s="767"/>
      <c r="D33" s="772"/>
      <c r="E33" s="752"/>
      <c r="F33" s="752"/>
      <c r="G33" s="752"/>
      <c r="H33" s="752"/>
      <c r="I33" s="45">
        <f t="shared" si="0"/>
        <v>0</v>
      </c>
      <c r="J33" s="334" t="str">
        <f t="shared" si="3"/>
        <v/>
      </c>
      <c r="K33" s="754"/>
    </row>
    <row r="34" spans="1:11" ht="12.75" customHeight="1">
      <c r="A34" s="786" t="str">
        <f>IF(A7="","",A7)</f>
        <v/>
      </c>
      <c r="B34" s="172"/>
      <c r="C34" s="767"/>
      <c r="D34" s="772"/>
      <c r="E34" s="752"/>
      <c r="F34" s="752"/>
      <c r="G34" s="752"/>
      <c r="H34" s="752"/>
      <c r="I34" s="45">
        <f t="shared" si="0"/>
        <v>0</v>
      </c>
      <c r="J34" s="334" t="str">
        <f t="shared" si="3"/>
        <v/>
      </c>
      <c r="K34" s="754"/>
    </row>
    <row r="35" spans="1:11" ht="12.75" customHeight="1">
      <c r="A35" s="786" t="str">
        <f t="shared" ref="A35:A41" si="7">IF(A8="","",A8)</f>
        <v/>
      </c>
      <c r="B35" s="172"/>
      <c r="C35" s="767"/>
      <c r="D35" s="772"/>
      <c r="E35" s="752"/>
      <c r="F35" s="752"/>
      <c r="G35" s="752"/>
      <c r="H35" s="752"/>
      <c r="I35" s="45">
        <f t="shared" si="0"/>
        <v>0</v>
      </c>
      <c r="J35" s="334" t="str">
        <f t="shared" si="3"/>
        <v/>
      </c>
      <c r="K35" s="754"/>
    </row>
    <row r="36" spans="1:11" ht="12.75" customHeight="1">
      <c r="A36" s="786" t="str">
        <f t="shared" si="7"/>
        <v/>
      </c>
      <c r="B36" s="172"/>
      <c r="C36" s="767"/>
      <c r="D36" s="772"/>
      <c r="E36" s="752"/>
      <c r="F36" s="752"/>
      <c r="G36" s="752"/>
      <c r="H36" s="752"/>
      <c r="I36" s="45">
        <f t="shared" si="0"/>
        <v>0</v>
      </c>
      <c r="J36" s="334" t="str">
        <f t="shared" si="3"/>
        <v/>
      </c>
      <c r="K36" s="754"/>
    </row>
    <row r="37" spans="1:11" ht="12.75" customHeight="1">
      <c r="A37" s="786" t="str">
        <f t="shared" si="7"/>
        <v/>
      </c>
      <c r="B37" s="172"/>
      <c r="C37" s="767"/>
      <c r="D37" s="772"/>
      <c r="E37" s="752"/>
      <c r="F37" s="752"/>
      <c r="G37" s="752"/>
      <c r="H37" s="752"/>
      <c r="I37" s="45">
        <f t="shared" si="0"/>
        <v>0</v>
      </c>
      <c r="J37" s="334" t="str">
        <f t="shared" si="3"/>
        <v/>
      </c>
      <c r="K37" s="754"/>
    </row>
    <row r="38" spans="1:11" ht="12.75" customHeight="1">
      <c r="A38" s="786" t="str">
        <f t="shared" si="7"/>
        <v/>
      </c>
      <c r="B38" s="172"/>
      <c r="C38" s="767"/>
      <c r="D38" s="772"/>
      <c r="E38" s="752"/>
      <c r="F38" s="752"/>
      <c r="G38" s="752"/>
      <c r="H38" s="752"/>
      <c r="I38" s="45">
        <f t="shared" si="0"/>
        <v>0</v>
      </c>
      <c r="J38" s="334" t="str">
        <f t="shared" si="3"/>
        <v/>
      </c>
      <c r="K38" s="754"/>
    </row>
    <row r="39" spans="1:11" ht="12.75" customHeight="1">
      <c r="A39" s="786" t="str">
        <f t="shared" si="7"/>
        <v/>
      </c>
      <c r="B39" s="172"/>
      <c r="C39" s="767"/>
      <c r="D39" s="772"/>
      <c r="E39" s="752"/>
      <c r="F39" s="752"/>
      <c r="G39" s="752"/>
      <c r="H39" s="752"/>
      <c r="I39" s="45">
        <f t="shared" si="0"/>
        <v>0</v>
      </c>
      <c r="J39" s="334" t="str">
        <f t="shared" si="3"/>
        <v/>
      </c>
      <c r="K39" s="754"/>
    </row>
    <row r="40" spans="1:11" ht="12.75" customHeight="1">
      <c r="A40" s="786" t="str">
        <f t="shared" si="7"/>
        <v/>
      </c>
      <c r="B40" s="172"/>
      <c r="C40" s="767"/>
      <c r="D40" s="772"/>
      <c r="E40" s="752"/>
      <c r="F40" s="752"/>
      <c r="G40" s="752"/>
      <c r="H40" s="752"/>
      <c r="I40" s="45">
        <f t="shared" si="0"/>
        <v>0</v>
      </c>
      <c r="J40" s="334" t="str">
        <f t="shared" si="3"/>
        <v/>
      </c>
      <c r="K40" s="754"/>
    </row>
    <row r="41" spans="1:11" ht="12.75" customHeight="1">
      <c r="A41" s="786" t="str">
        <f t="shared" si="7"/>
        <v/>
      </c>
      <c r="B41" s="172"/>
      <c r="C41" s="767"/>
      <c r="D41" s="772"/>
      <c r="E41" s="752"/>
      <c r="F41" s="752"/>
      <c r="G41" s="752"/>
      <c r="H41" s="752"/>
      <c r="I41" s="45">
        <f t="shared" si="0"/>
        <v>0</v>
      </c>
      <c r="J41" s="334" t="str">
        <f t="shared" si="3"/>
        <v/>
      </c>
      <c r="K41" s="754"/>
    </row>
    <row r="42" spans="1:11" ht="5.0999999999999996" customHeight="1">
      <c r="A42" s="786"/>
      <c r="B42" s="172"/>
      <c r="C42" s="767"/>
      <c r="D42" s="772"/>
      <c r="E42" s="752"/>
      <c r="F42" s="752"/>
      <c r="G42" s="752"/>
      <c r="H42" s="752"/>
      <c r="I42" s="45"/>
      <c r="J42" s="334" t="str">
        <f t="shared" si="3"/>
        <v/>
      </c>
      <c r="K42" s="754"/>
    </row>
    <row r="43" spans="1:11" ht="12.75" customHeight="1">
      <c r="A43" s="114" t="s">
        <v>934</v>
      </c>
      <c r="B43" s="327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6" t="str">
        <f t="shared" si="3"/>
        <v/>
      </c>
      <c r="K43" s="236">
        <f t="shared" si="8"/>
        <v>0</v>
      </c>
    </row>
    <row r="44" spans="1:11" ht="12.75" customHeight="1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>
      <c r="A45" s="81" t="s">
        <v>1162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>
      <c r="A46" s="81" t="s">
        <v>1163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>
      <c r="A47" s="61" t="s">
        <v>772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81" t="s">
        <v>794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>
      <c r="A49" s="326" t="s">
        <v>716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>
      <c r="B51" s="25"/>
    </row>
    <row r="52" spans="1:11" ht="11.25" customHeight="1">
      <c r="B52" s="25"/>
    </row>
    <row r="53" spans="1:11">
      <c r="B53" s="25"/>
    </row>
    <row r="54" spans="1:11" ht="11.25" customHeight="1">
      <c r="B54" s="25"/>
    </row>
    <row r="55" spans="1:11" ht="11.25" customHeight="1">
      <c r="B55" s="25"/>
    </row>
    <row r="56" spans="1:11" ht="11.25" customHeight="1">
      <c r="B56" s="25"/>
    </row>
    <row r="57" spans="1:11">
      <c r="B57" s="25"/>
    </row>
    <row r="58" spans="1:11" ht="11.25" customHeight="1">
      <c r="B58" s="25"/>
    </row>
    <row r="59" spans="1:11" ht="11.25" customHeight="1">
      <c r="B59" s="25"/>
    </row>
    <row r="60" spans="1:1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/>
    <row r="85" spans="2:2" ht="11.25" customHeight="1"/>
  </sheetData>
  <sheetProtection sheet="1" objects="1" scenarios="1"/>
  <mergeCells count="4">
    <mergeCell ref="A2:A3"/>
    <mergeCell ref="B2:B3"/>
    <mergeCell ref="A1:K1"/>
    <mergeCell ref="D2:K2"/>
  </mergeCells>
  <phoneticPr fontId="3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="110" zoomScaleNormal="100" zoomScaleSheetLayoutView="110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E24" sqref="E24"/>
    </sheetView>
  </sheetViews>
  <sheetFormatPr defaultRowHeight="12.7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>
      <c r="A1" s="994" t="str">
        <f>muni&amp; " - "&amp;S71R&amp; " - "&amp;Head57</f>
        <v>FS194 Maluti-a-Phofung - Supporting Table SC12 Consolidated Monthly Budget Statement - capital expenditure trend  - M07 January</v>
      </c>
      <c r="B1" s="994"/>
      <c r="C1" s="994"/>
      <c r="D1" s="994"/>
      <c r="E1" s="994"/>
      <c r="F1" s="994"/>
      <c r="G1" s="994"/>
      <c r="H1" s="994"/>
      <c r="I1" s="994"/>
      <c r="J1" s="994"/>
    </row>
    <row r="2" spans="1:10">
      <c r="A2" s="983" t="s">
        <v>1070</v>
      </c>
      <c r="B2" s="140" t="str">
        <f>Head1</f>
        <v>2012/13</v>
      </c>
      <c r="C2" s="978" t="str">
        <f>Head2</f>
        <v>Budget Year 2013/14</v>
      </c>
      <c r="D2" s="979"/>
      <c r="E2" s="979"/>
      <c r="F2" s="979"/>
      <c r="G2" s="979"/>
      <c r="H2" s="979"/>
      <c r="I2" s="979"/>
      <c r="J2" s="980"/>
    </row>
    <row r="3" spans="1:10" ht="38.25">
      <c r="A3" s="984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90</v>
      </c>
    </row>
    <row r="4" spans="1:10">
      <c r="A4" s="295" t="s">
        <v>821</v>
      </c>
      <c r="B4" s="296"/>
      <c r="C4" s="302"/>
      <c r="D4" s="298"/>
      <c r="E4" s="299"/>
      <c r="F4" s="299"/>
      <c r="G4" s="299"/>
      <c r="H4" s="299"/>
      <c r="I4" s="300" t="s">
        <v>723</v>
      </c>
      <c r="J4" s="301"/>
    </row>
    <row r="5" spans="1:10" ht="12.75" customHeight="1">
      <c r="A5" s="36" t="s">
        <v>586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>
      <c r="A6" s="40" t="s">
        <v>958</v>
      </c>
      <c r="B6" s="767"/>
      <c r="C6" s="772">
        <v>30598000</v>
      </c>
      <c r="D6" s="391"/>
      <c r="E6" s="391">
        <v>14820860.01</v>
      </c>
      <c r="F6" s="415">
        <f>IF(E6&gt;0,E6,"")</f>
        <v>14820860.01</v>
      </c>
      <c r="G6" s="415">
        <f>IF(D6&gt;0,D6,C6)</f>
        <v>30598000</v>
      </c>
      <c r="H6" s="45">
        <f t="shared" ref="H6:H16" si="0">IF(F6="",0,G6-F6)</f>
        <v>15777139.99</v>
      </c>
      <c r="I6" s="125">
        <f t="shared" ref="I6:I16" si="1">IF(F6="","",IF(H6=0,"",H6/G6))</f>
        <v>0.51562651120988301</v>
      </c>
      <c r="J6" s="688">
        <f t="shared" ref="J6:J16" si="2">IF(F6="","",F6/$C$18)</f>
        <v>3.7614104749964468E-2</v>
      </c>
    </row>
    <row r="7" spans="1:10" ht="12.75" customHeight="1">
      <c r="A7" s="40" t="s">
        <v>1095</v>
      </c>
      <c r="B7" s="767"/>
      <c r="C7" s="772">
        <v>33977000</v>
      </c>
      <c r="D7" s="391"/>
      <c r="E7" s="752">
        <v>20808748.510000002</v>
      </c>
      <c r="F7" s="415">
        <f>IF(E7&gt;0,E7+F6,"")</f>
        <v>35629608.520000003</v>
      </c>
      <c r="G7" s="415">
        <f>IF(D7&gt;0,D7+D6,C7+C6)</f>
        <v>64575000</v>
      </c>
      <c r="H7" s="45">
        <f t="shared" si="0"/>
        <v>28945391.479999997</v>
      </c>
      <c r="I7" s="125">
        <f t="shared" si="1"/>
        <v>0.44824454479287645</v>
      </c>
      <c r="J7" s="688">
        <f t="shared" si="2"/>
        <v>9.042497035713562E-2</v>
      </c>
    </row>
    <row r="8" spans="1:10" ht="12.75" customHeight="1">
      <c r="A8" s="40" t="s">
        <v>682</v>
      </c>
      <c r="B8" s="767"/>
      <c r="C8" s="772">
        <v>25908000</v>
      </c>
      <c r="D8" s="391"/>
      <c r="E8" s="391">
        <v>6562230.4799999995</v>
      </c>
      <c r="F8" s="415">
        <f t="shared" ref="F8:F17" si="3">IF(E8&gt;0,E8+F7,"")</f>
        <v>42191839</v>
      </c>
      <c r="G8" s="415">
        <f>IF(D8&gt;0,D8+G7,C8+G7)</f>
        <v>90483000</v>
      </c>
      <c r="H8" s="45">
        <f t="shared" si="0"/>
        <v>48291161</v>
      </c>
      <c r="I8" s="125">
        <f t="shared" si="1"/>
        <v>0.53370424278593764</v>
      </c>
      <c r="J8" s="688">
        <f t="shared" si="2"/>
        <v>0.10707936318599882</v>
      </c>
    </row>
    <row r="9" spans="1:10" ht="12.75" customHeight="1">
      <c r="A9" s="40" t="s">
        <v>1096</v>
      </c>
      <c r="B9" s="767"/>
      <c r="C9" s="772">
        <v>26423000</v>
      </c>
      <c r="D9" s="391"/>
      <c r="E9" s="391">
        <v>22802079.98</v>
      </c>
      <c r="F9" s="415">
        <f t="shared" si="3"/>
        <v>64993918.980000004</v>
      </c>
      <c r="G9" s="415">
        <f t="shared" ref="G9:G17" si="4">IF(D9&gt;0,D9+G8,C9+G8)</f>
        <v>116906000</v>
      </c>
      <c r="H9" s="45">
        <f t="shared" si="0"/>
        <v>51912081.019999996</v>
      </c>
      <c r="I9" s="125">
        <f t="shared" si="1"/>
        <v>0.44404975809624825</v>
      </c>
      <c r="J9" s="688">
        <f t="shared" si="2"/>
        <v>0.16494913756522447</v>
      </c>
    </row>
    <row r="10" spans="1:10" ht="12.75" customHeight="1">
      <c r="A10" s="40" t="s">
        <v>1097</v>
      </c>
      <c r="B10" s="767"/>
      <c r="C10" s="772">
        <v>27010000</v>
      </c>
      <c r="D10" s="391"/>
      <c r="E10" s="391">
        <v>29640777.030000001</v>
      </c>
      <c r="F10" s="415">
        <f t="shared" si="3"/>
        <v>94634696.010000005</v>
      </c>
      <c r="G10" s="415">
        <f t="shared" si="4"/>
        <v>143916000</v>
      </c>
      <c r="H10" s="45">
        <f t="shared" si="0"/>
        <v>49281303.989999995</v>
      </c>
      <c r="I10" s="125">
        <f t="shared" si="1"/>
        <v>0.34243102914199947</v>
      </c>
      <c r="J10" s="688">
        <f t="shared" si="2"/>
        <v>0.24017495383529938</v>
      </c>
    </row>
    <row r="11" spans="1:10" ht="12.75" customHeight="1">
      <c r="A11" s="40" t="s">
        <v>1098</v>
      </c>
      <c r="B11" s="767"/>
      <c r="C11" s="772">
        <v>23233000</v>
      </c>
      <c r="D11" s="391"/>
      <c r="E11" s="391">
        <v>20036560.16</v>
      </c>
      <c r="F11" s="415">
        <f t="shared" si="3"/>
        <v>114671256.17</v>
      </c>
      <c r="G11" s="415">
        <f t="shared" si="4"/>
        <v>167149000</v>
      </c>
      <c r="H11" s="45">
        <f t="shared" si="0"/>
        <v>52477743.829999998</v>
      </c>
      <c r="I11" s="125">
        <f t="shared" si="1"/>
        <v>0.31395786890738203</v>
      </c>
      <c r="J11" s="688">
        <f t="shared" si="2"/>
        <v>0.29102606990944713</v>
      </c>
    </row>
    <row r="12" spans="1:10" ht="12.75" customHeight="1">
      <c r="A12" s="40" t="s">
        <v>1099</v>
      </c>
      <c r="B12" s="767"/>
      <c r="C12" s="772">
        <v>24422000</v>
      </c>
      <c r="D12" s="391"/>
      <c r="E12" s="391">
        <v>9754095.379999999</v>
      </c>
      <c r="F12" s="415">
        <f t="shared" si="3"/>
        <v>124425351.55</v>
      </c>
      <c r="G12" s="415">
        <f t="shared" si="4"/>
        <v>191571000</v>
      </c>
      <c r="H12" s="45">
        <f t="shared" si="0"/>
        <v>67145648.450000003</v>
      </c>
      <c r="I12" s="125">
        <f t="shared" si="1"/>
        <v>0.35050006759895813</v>
      </c>
      <c r="J12" s="688">
        <f t="shared" si="2"/>
        <v>0.31578114924471606</v>
      </c>
    </row>
    <row r="13" spans="1:10" ht="12.75" customHeight="1">
      <c r="A13" s="40" t="s">
        <v>1100</v>
      </c>
      <c r="B13" s="767"/>
      <c r="C13" s="772">
        <v>24596000</v>
      </c>
      <c r="D13" s="391"/>
      <c r="E13" s="391"/>
      <c r="F13" s="415" t="str">
        <f t="shared" si="3"/>
        <v/>
      </c>
      <c r="G13" s="415">
        <f t="shared" si="4"/>
        <v>216167000</v>
      </c>
      <c r="H13" s="45">
        <f t="shared" si="0"/>
        <v>0</v>
      </c>
      <c r="I13" s="125" t="str">
        <f t="shared" si="1"/>
        <v/>
      </c>
      <c r="J13" s="688" t="str">
        <f t="shared" si="2"/>
        <v/>
      </c>
    </row>
    <row r="14" spans="1:10" ht="12.75" customHeight="1">
      <c r="A14" s="40" t="s">
        <v>1101</v>
      </c>
      <c r="B14" s="767"/>
      <c r="C14" s="772">
        <v>25237000</v>
      </c>
      <c r="D14" s="391"/>
      <c r="E14" s="391"/>
      <c r="F14" s="415" t="str">
        <f t="shared" si="3"/>
        <v/>
      </c>
      <c r="G14" s="415">
        <f t="shared" si="4"/>
        <v>241404000</v>
      </c>
      <c r="H14" s="45">
        <f t="shared" si="0"/>
        <v>0</v>
      </c>
      <c r="I14" s="125" t="str">
        <f t="shared" si="1"/>
        <v/>
      </c>
      <c r="J14" s="688" t="str">
        <f t="shared" si="2"/>
        <v/>
      </c>
    </row>
    <row r="15" spans="1:10" ht="12.75" customHeight="1">
      <c r="A15" s="40" t="s">
        <v>1102</v>
      </c>
      <c r="B15" s="767"/>
      <c r="C15" s="772">
        <v>31741000</v>
      </c>
      <c r="D15" s="391"/>
      <c r="E15" s="391"/>
      <c r="F15" s="415" t="str">
        <f t="shared" si="3"/>
        <v/>
      </c>
      <c r="G15" s="415">
        <f t="shared" si="4"/>
        <v>273145000</v>
      </c>
      <c r="H15" s="45">
        <f t="shared" si="0"/>
        <v>0</v>
      </c>
      <c r="I15" s="125" t="str">
        <f t="shared" si="1"/>
        <v/>
      </c>
      <c r="J15" s="689" t="str">
        <f t="shared" si="2"/>
        <v/>
      </c>
    </row>
    <row r="16" spans="1:10" ht="12.75" customHeight="1">
      <c r="A16" s="40" t="s">
        <v>1103</v>
      </c>
      <c r="B16" s="767"/>
      <c r="C16" s="772">
        <v>29600000</v>
      </c>
      <c r="D16" s="391"/>
      <c r="E16" s="391"/>
      <c r="F16" s="415" t="str">
        <f t="shared" si="3"/>
        <v/>
      </c>
      <c r="G16" s="415">
        <f t="shared" si="4"/>
        <v>302745000</v>
      </c>
      <c r="H16" s="45">
        <f t="shared" si="0"/>
        <v>0</v>
      </c>
      <c r="I16" s="125" t="str">
        <f t="shared" si="1"/>
        <v/>
      </c>
      <c r="J16" s="689" t="str">
        <f t="shared" si="2"/>
        <v/>
      </c>
    </row>
    <row r="17" spans="1:10" ht="12.75" customHeight="1">
      <c r="A17" s="248" t="s">
        <v>1104</v>
      </c>
      <c r="B17" s="768"/>
      <c r="C17" s="776">
        <v>91279000</v>
      </c>
      <c r="D17" s="770"/>
      <c r="E17" s="770"/>
      <c r="F17" s="416" t="str">
        <f t="shared" si="3"/>
        <v/>
      </c>
      <c r="G17" s="416">
        <f t="shared" si="4"/>
        <v>394024000</v>
      </c>
      <c r="H17" s="100">
        <f>IF(F17="",0,G17-F17)</f>
        <v>0</v>
      </c>
      <c r="I17" s="328" t="str">
        <f>IF(F17="","",IF(H17=0,"",H17/G17))</f>
        <v/>
      </c>
      <c r="J17" s="690" t="str">
        <f>IF(F17="","",F17/$C$18)</f>
        <v/>
      </c>
    </row>
    <row r="18" spans="1:10" ht="12.75" customHeight="1">
      <c r="A18" s="95" t="s">
        <v>709</v>
      </c>
      <c r="B18" s="245">
        <f>SUM(B6:B17)</f>
        <v>0</v>
      </c>
      <c r="C18" s="266">
        <f>SUM(C6:C17)</f>
        <v>394024000</v>
      </c>
      <c r="D18" s="77">
        <f>SUM(D6:D17)</f>
        <v>0</v>
      </c>
      <c r="E18" s="77">
        <f>SUM(E6:E17)</f>
        <v>124425351.55</v>
      </c>
      <c r="F18" s="338"/>
      <c r="G18" s="338"/>
      <c r="H18" s="338"/>
      <c r="I18" s="417"/>
      <c r="J18" s="235"/>
    </row>
    <row r="19" spans="1:10" ht="12.75" customHeight="1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/>
    <row r="22" spans="1:10" ht="11.25" customHeight="1"/>
    <row r="23" spans="1:10" ht="11.25" customHeight="1"/>
    <row r="24" spans="1:10" ht="11.2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11.25" customHeight="1"/>
    <row r="30" spans="1:10" ht="11.25" customHeight="1"/>
    <row r="31" spans="1:10" ht="11.25" customHeight="1"/>
    <row r="32" spans="1:10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6" ht="5.0999999999999996" customHeight="1"/>
    <row r="59" ht="5.0999999999999996" customHeight="1"/>
  </sheetData>
  <sheetProtection sheet="1" objects="1" scenarios="1"/>
  <mergeCells count="3">
    <mergeCell ref="A2:A3"/>
    <mergeCell ref="A1:J1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100" zoomScaleSheetLayoutView="100" workbookViewId="0">
      <pane xSplit="2" ySplit="4" topLeftCell="D53" activePane="bottomRight" state="frozen"/>
      <selection activeCell="M76" sqref="M76"/>
      <selection pane="topRight" activeCell="M76" sqref="M76"/>
      <selection pane="bottomLeft" activeCell="M76" sqref="M76"/>
      <selection pane="bottomRight" activeCell="G22" sqref="G22"/>
    </sheetView>
  </sheetViews>
  <sheetFormatPr defaultRowHeight="12.7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"&amp;S71Sa&amp; " - "&amp;Head57</f>
        <v>FS194 Maluti-a-Phofung - Supporting Table SC13a Consolidated Monthly Budget Statement - capital expenditure on new assets by asset class - M07 January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125798195</v>
      </c>
      <c r="E7" s="103">
        <f t="shared" si="0"/>
        <v>0</v>
      </c>
      <c r="F7" s="103">
        <f t="shared" si="0"/>
        <v>449426.98</v>
      </c>
      <c r="G7" s="103">
        <f t="shared" si="0"/>
        <v>3779606.34</v>
      </c>
      <c r="H7" s="103">
        <f t="shared" si="0"/>
        <v>125798195</v>
      </c>
      <c r="I7" s="102">
        <f t="shared" ref="I7:I76" si="1">H7-G7</f>
        <v>122018588.66</v>
      </c>
      <c r="J7" s="592">
        <f t="shared" ref="J7:J76" si="2">IF(I7=0,"",I7/H7)</f>
        <v>0.96995500340843521</v>
      </c>
      <c r="K7" s="617">
        <f>K8+K11+K15+K19+K22</f>
        <v>125798195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11798195</v>
      </c>
      <c r="E8" s="622">
        <f t="shared" si="3"/>
        <v>0</v>
      </c>
      <c r="F8" s="622">
        <f t="shared" si="3"/>
        <v>0</v>
      </c>
      <c r="G8" s="622">
        <f t="shared" si="3"/>
        <v>0</v>
      </c>
      <c r="H8" s="622">
        <f t="shared" si="3"/>
        <v>11798195</v>
      </c>
      <c r="I8" s="259">
        <f t="shared" si="1"/>
        <v>11798195</v>
      </c>
      <c r="J8" s="588">
        <f t="shared" si="2"/>
        <v>1</v>
      </c>
      <c r="K8" s="624">
        <f>SUM(K9:K10)</f>
        <v>11798195</v>
      </c>
    </row>
    <row r="9" spans="1:11" ht="12.75" customHeight="1">
      <c r="A9" s="587" t="s">
        <v>154</v>
      </c>
      <c r="B9" s="170"/>
      <c r="C9" s="767"/>
      <c r="D9" s="390">
        <f>6500000+5298195</f>
        <v>11798195</v>
      </c>
      <c r="E9" s="391"/>
      <c r="F9" s="391"/>
      <c r="G9" s="391">
        <v>0</v>
      </c>
      <c r="H9" s="391">
        <v>11798195</v>
      </c>
      <c r="I9" s="259">
        <f t="shared" si="1"/>
        <v>11798195</v>
      </c>
      <c r="J9" s="588">
        <f t="shared" si="2"/>
        <v>1</v>
      </c>
      <c r="K9" s="390">
        <f>6500000+5298195</f>
        <v>11798195</v>
      </c>
    </row>
    <row r="10" spans="1:11" ht="12.75" customHeight="1">
      <c r="A10" s="587" t="s">
        <v>155</v>
      </c>
      <c r="B10" s="170"/>
      <c r="C10" s="767"/>
      <c r="D10" s="390"/>
      <c r="E10" s="391"/>
      <c r="F10" s="391"/>
      <c r="G10" s="391"/>
      <c r="H10" s="391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0</v>
      </c>
      <c r="E11" s="415">
        <f t="shared" si="4"/>
        <v>0</v>
      </c>
      <c r="F11" s="415">
        <f t="shared" si="4"/>
        <v>0</v>
      </c>
      <c r="G11" s="415">
        <f t="shared" si="4"/>
        <v>0</v>
      </c>
      <c r="H11" s="415">
        <f t="shared" si="4"/>
        <v>0</v>
      </c>
      <c r="I11" s="259">
        <f t="shared" si="1"/>
        <v>0</v>
      </c>
      <c r="J11" s="588" t="str">
        <f t="shared" si="2"/>
        <v/>
      </c>
      <c r="K11" s="656">
        <f>SUM(K12:K14)</f>
        <v>0</v>
      </c>
    </row>
    <row r="12" spans="1:11" ht="12.75" customHeight="1">
      <c r="A12" s="587" t="s">
        <v>157</v>
      </c>
      <c r="B12" s="170"/>
      <c r="C12" s="767"/>
      <c r="D12" s="764"/>
      <c r="E12" s="752"/>
      <c r="F12" s="752"/>
      <c r="G12" s="752"/>
      <c r="H12" s="752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764"/>
      <c r="E13" s="752"/>
      <c r="F13" s="752"/>
      <c r="G13" s="752"/>
      <c r="H13" s="752"/>
      <c r="I13" s="259">
        <f t="shared" si="1"/>
        <v>0</v>
      </c>
      <c r="J13" s="588" t="str">
        <f t="shared" si="2"/>
        <v/>
      </c>
      <c r="K13" s="754"/>
    </row>
    <row r="14" spans="1:11" ht="12.75" customHeight="1">
      <c r="A14" s="587" t="s">
        <v>605</v>
      </c>
      <c r="B14" s="170"/>
      <c r="C14" s="767"/>
      <c r="D14" s="764"/>
      <c r="E14" s="752"/>
      <c r="F14" s="752"/>
      <c r="G14" s="752"/>
      <c r="H14" s="752"/>
      <c r="I14" s="259">
        <f t="shared" si="1"/>
        <v>0</v>
      </c>
      <c r="J14" s="588" t="str">
        <f t="shared" si="2"/>
        <v/>
      </c>
      <c r="K14" s="754"/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15000000</v>
      </c>
      <c r="E15" s="415">
        <f t="shared" si="5"/>
        <v>0</v>
      </c>
      <c r="F15" s="415">
        <f t="shared" si="5"/>
        <v>0</v>
      </c>
      <c r="G15" s="415">
        <f t="shared" si="5"/>
        <v>1575793.4</v>
      </c>
      <c r="H15" s="415">
        <f t="shared" si="5"/>
        <v>15000000</v>
      </c>
      <c r="I15" s="259">
        <f t="shared" si="1"/>
        <v>13424206.6</v>
      </c>
      <c r="J15" s="588">
        <f t="shared" si="2"/>
        <v>0.89494710666666666</v>
      </c>
      <c r="K15" s="656">
        <f>SUM(K16:K18)</f>
        <v>15000000</v>
      </c>
    </row>
    <row r="16" spans="1:11" ht="12.75" customHeight="1">
      <c r="A16" s="587" t="s">
        <v>160</v>
      </c>
      <c r="B16" s="170"/>
      <c r="C16" s="767"/>
      <c r="D16" s="390">
        <f>5000000</f>
        <v>5000000</v>
      </c>
      <c r="E16" s="391"/>
      <c r="F16" s="391"/>
      <c r="G16" s="391">
        <f>284379.6+1572.63+289842.6</f>
        <v>575794.82999999996</v>
      </c>
      <c r="H16" s="391">
        <v>5000000</v>
      </c>
      <c r="I16" s="259">
        <f t="shared" si="1"/>
        <v>4424205.17</v>
      </c>
      <c r="J16" s="588">
        <f t="shared" si="2"/>
        <v>0.88484103400000003</v>
      </c>
      <c r="K16" s="390">
        <f>5000000</f>
        <v>5000000</v>
      </c>
    </row>
    <row r="17" spans="1:11" ht="12.75" customHeight="1">
      <c r="A17" s="587" t="s">
        <v>161</v>
      </c>
      <c r="B17" s="170"/>
      <c r="C17" s="767"/>
      <c r="D17" s="390">
        <f>10000000</f>
        <v>10000000</v>
      </c>
      <c r="E17" s="391"/>
      <c r="F17" s="391"/>
      <c r="G17" s="391">
        <f>502307.62+497690.95</f>
        <v>999998.57000000007</v>
      </c>
      <c r="H17" s="391">
        <v>10000000</v>
      </c>
      <c r="I17" s="259">
        <f t="shared" si="1"/>
        <v>9000001.4299999997</v>
      </c>
      <c r="J17" s="588">
        <f t="shared" si="2"/>
        <v>0.90000014299999997</v>
      </c>
      <c r="K17" s="390">
        <f>10000000</f>
        <v>10000000</v>
      </c>
    </row>
    <row r="18" spans="1:11" ht="12.75" customHeight="1">
      <c r="A18" s="587" t="s">
        <v>162</v>
      </c>
      <c r="B18" s="170"/>
      <c r="C18" s="767"/>
      <c r="D18" s="390"/>
      <c r="E18" s="391"/>
      <c r="F18" s="391"/>
      <c r="G18" s="391"/>
      <c r="H18" s="391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5000000</v>
      </c>
      <c r="E19" s="415">
        <f t="shared" si="6"/>
        <v>0</v>
      </c>
      <c r="F19" s="415">
        <f t="shared" si="6"/>
        <v>449426.98</v>
      </c>
      <c r="G19" s="415">
        <f t="shared" si="6"/>
        <v>449426.98</v>
      </c>
      <c r="H19" s="415">
        <f t="shared" si="6"/>
        <v>5000000</v>
      </c>
      <c r="I19" s="259">
        <f t="shared" si="1"/>
        <v>4550573.0199999996</v>
      </c>
      <c r="J19" s="588">
        <f t="shared" si="2"/>
        <v>0.91011460399999988</v>
      </c>
      <c r="K19" s="656">
        <f>SUM(K20:K21)</f>
        <v>5000000</v>
      </c>
    </row>
    <row r="20" spans="1:11" ht="12.75" customHeight="1">
      <c r="A20" s="587" t="s">
        <v>162</v>
      </c>
      <c r="B20" s="170"/>
      <c r="C20" s="767"/>
      <c r="D20" s="390"/>
      <c r="E20" s="391"/>
      <c r="F20" s="391"/>
      <c r="G20" s="391"/>
      <c r="H20" s="391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390">
        <f>5000000</f>
        <v>5000000</v>
      </c>
      <c r="E21" s="391"/>
      <c r="F21" s="391">
        <f>449426.98</f>
        <v>449426.98</v>
      </c>
      <c r="G21" s="391">
        <f>449426.98</f>
        <v>449426.98</v>
      </c>
      <c r="H21" s="391">
        <v>5000000</v>
      </c>
      <c r="I21" s="259">
        <f t="shared" si="1"/>
        <v>4550573.0199999996</v>
      </c>
      <c r="J21" s="588">
        <f t="shared" si="2"/>
        <v>0.91011460399999988</v>
      </c>
      <c r="K21" s="390">
        <f>5000000</f>
        <v>5000000</v>
      </c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94000000</v>
      </c>
      <c r="E22" s="415">
        <f t="shared" si="7"/>
        <v>0</v>
      </c>
      <c r="F22" s="415">
        <f t="shared" si="7"/>
        <v>0</v>
      </c>
      <c r="G22" s="415">
        <f t="shared" si="7"/>
        <v>1754385.96</v>
      </c>
      <c r="H22" s="415">
        <f t="shared" si="7"/>
        <v>94000000</v>
      </c>
      <c r="I22" s="259">
        <f t="shared" si="1"/>
        <v>92245614.040000007</v>
      </c>
      <c r="J22" s="588">
        <f t="shared" si="2"/>
        <v>0.98133631957446821</v>
      </c>
      <c r="K22" s="656">
        <f>SUM(K23:K26)</f>
        <v>94000000</v>
      </c>
    </row>
    <row r="23" spans="1:11" ht="12.75" customHeight="1">
      <c r="A23" s="587" t="s">
        <v>945</v>
      </c>
      <c r="B23" s="170"/>
      <c r="C23" s="767"/>
      <c r="D23" s="390"/>
      <c r="E23" s="391"/>
      <c r="F23" s="391"/>
      <c r="G23" s="391"/>
      <c r="H23" s="391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390">
        <f>6000000+10000000+3000000+35000000+40000000</f>
        <v>94000000</v>
      </c>
      <c r="E26" s="391"/>
      <c r="F26" s="391"/>
      <c r="G26" s="391">
        <f>1754385.96</f>
        <v>1754385.96</v>
      </c>
      <c r="H26" s="391">
        <v>94000000</v>
      </c>
      <c r="I26" s="259">
        <f t="shared" si="1"/>
        <v>92245614.040000007</v>
      </c>
      <c r="J26" s="588">
        <f t="shared" si="2"/>
        <v>0.98133631957446821</v>
      </c>
      <c r="K26" s="390">
        <f>6000000+10000000+3000000+35000000+40000000</f>
        <v>94000000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0</v>
      </c>
      <c r="E28" s="591">
        <f t="shared" si="8"/>
        <v>0</v>
      </c>
      <c r="F28" s="591">
        <f t="shared" si="8"/>
        <v>0</v>
      </c>
      <c r="G28" s="591">
        <f t="shared" si="8"/>
        <v>0</v>
      </c>
      <c r="H28" s="591">
        <f t="shared" si="8"/>
        <v>0</v>
      </c>
      <c r="I28" s="591">
        <f t="shared" si="1"/>
        <v>0</v>
      </c>
      <c r="J28" s="592" t="str">
        <f t="shared" si="2"/>
        <v/>
      </c>
      <c r="K28" s="593">
        <f>SUM(K29:K42)</f>
        <v>0</v>
      </c>
    </row>
    <row r="29" spans="1:11" ht="12.75" customHeight="1">
      <c r="A29" s="40" t="s">
        <v>623</v>
      </c>
      <c r="B29" s="170"/>
      <c r="C29" s="767"/>
      <c r="D29" s="772"/>
      <c r="E29" s="752"/>
      <c r="F29" s="752"/>
      <c r="G29" s="752"/>
      <c r="H29" s="752"/>
      <c r="I29" s="45">
        <f t="shared" si="1"/>
        <v>0</v>
      </c>
      <c r="J29" s="125" t="str">
        <f t="shared" si="2"/>
        <v/>
      </c>
      <c r="K29" s="754"/>
    </row>
    <row r="30" spans="1:11" ht="12.75" customHeight="1">
      <c r="A30" s="40" t="s">
        <v>618</v>
      </c>
      <c r="B30" s="170"/>
      <c r="C30" s="767"/>
      <c r="D30" s="772"/>
      <c r="E30" s="752"/>
      <c r="F30" s="752"/>
      <c r="G30" s="752"/>
      <c r="H30" s="752"/>
      <c r="I30" s="45">
        <f t="shared" si="1"/>
        <v>0</v>
      </c>
      <c r="J30" s="125" t="str">
        <f t="shared" si="2"/>
        <v/>
      </c>
      <c r="K30" s="754"/>
    </row>
    <row r="31" spans="1:11" ht="12.75" customHeight="1">
      <c r="A31" s="40" t="s">
        <v>617</v>
      </c>
      <c r="B31" s="170"/>
      <c r="C31" s="767"/>
      <c r="D31" s="772"/>
      <c r="E31" s="752"/>
      <c r="F31" s="752"/>
      <c r="G31" s="752"/>
      <c r="H31" s="752"/>
      <c r="I31" s="45">
        <f t="shared" si="1"/>
        <v>0</v>
      </c>
      <c r="J31" s="125" t="str">
        <f t="shared" si="2"/>
        <v/>
      </c>
      <c r="K31" s="754"/>
    </row>
    <row r="32" spans="1:11" ht="12.75" customHeight="1">
      <c r="A32" s="40" t="s">
        <v>622</v>
      </c>
      <c r="B32" s="170"/>
      <c r="C32" s="767"/>
      <c r="D32" s="772"/>
      <c r="E32" s="752"/>
      <c r="F32" s="752"/>
      <c r="G32" s="752"/>
      <c r="H32" s="752"/>
      <c r="I32" s="45">
        <f t="shared" si="1"/>
        <v>0</v>
      </c>
      <c r="J32" s="125" t="str">
        <f t="shared" si="2"/>
        <v/>
      </c>
      <c r="K32" s="754"/>
    </row>
    <row r="33" spans="1:11" ht="12.75" customHeight="1">
      <c r="A33" s="40" t="s">
        <v>697</v>
      </c>
      <c r="B33" s="170"/>
      <c r="C33" s="767"/>
      <c r="D33" s="772"/>
      <c r="E33" s="752"/>
      <c r="F33" s="752"/>
      <c r="G33" s="752"/>
      <c r="H33" s="752"/>
      <c r="I33" s="45">
        <f t="shared" si="1"/>
        <v>0</v>
      </c>
      <c r="J33" s="125" t="str">
        <f t="shared" si="2"/>
        <v/>
      </c>
      <c r="K33" s="754"/>
    </row>
    <row r="34" spans="1:11" ht="12.75" customHeight="1">
      <c r="A34" s="40" t="s">
        <v>621</v>
      </c>
      <c r="B34" s="170"/>
      <c r="C34" s="767"/>
      <c r="D34" s="772"/>
      <c r="E34" s="752"/>
      <c r="F34" s="752"/>
      <c r="G34" s="752"/>
      <c r="H34" s="752"/>
      <c r="I34" s="45">
        <f t="shared" si="1"/>
        <v>0</v>
      </c>
      <c r="J34" s="125" t="str">
        <f t="shared" si="2"/>
        <v/>
      </c>
      <c r="K34" s="754"/>
    </row>
    <row r="35" spans="1:11" ht="12.75" customHeight="1">
      <c r="A35" s="40" t="s">
        <v>619</v>
      </c>
      <c r="B35" s="170"/>
      <c r="C35" s="767"/>
      <c r="D35" s="772"/>
      <c r="E35" s="752"/>
      <c r="F35" s="752"/>
      <c r="G35" s="752"/>
      <c r="H35" s="752"/>
      <c r="I35" s="45">
        <f t="shared" si="1"/>
        <v>0</v>
      </c>
      <c r="J35" s="125" t="str">
        <f t="shared" si="2"/>
        <v/>
      </c>
      <c r="K35" s="754"/>
    </row>
    <row r="36" spans="1:11" ht="12.75" customHeight="1">
      <c r="A36" s="40" t="s">
        <v>620</v>
      </c>
      <c r="B36" s="170"/>
      <c r="C36" s="767"/>
      <c r="D36" s="772"/>
      <c r="E36" s="752"/>
      <c r="F36" s="752"/>
      <c r="G36" s="752"/>
      <c r="H36" s="752"/>
      <c r="I36" s="45">
        <f t="shared" si="1"/>
        <v>0</v>
      </c>
      <c r="J36" s="125" t="str">
        <f t="shared" si="2"/>
        <v/>
      </c>
      <c r="K36" s="754"/>
    </row>
    <row r="37" spans="1:11" ht="12.75" customHeight="1">
      <c r="A37" s="40" t="s">
        <v>741</v>
      </c>
      <c r="B37" s="170"/>
      <c r="C37" s="767"/>
      <c r="D37" s="772"/>
      <c r="E37" s="752"/>
      <c r="F37" s="752"/>
      <c r="G37" s="752"/>
      <c r="H37" s="752"/>
      <c r="I37" s="45">
        <f t="shared" si="1"/>
        <v>0</v>
      </c>
      <c r="J37" s="125" t="str">
        <f t="shared" si="2"/>
        <v/>
      </c>
      <c r="K37" s="754"/>
    </row>
    <row r="38" spans="1:11" ht="12.75" customHeight="1">
      <c r="A38" s="40" t="s">
        <v>954</v>
      </c>
      <c r="B38" s="170"/>
      <c r="C38" s="767"/>
      <c r="D38" s="772"/>
      <c r="E38" s="752"/>
      <c r="F38" s="752"/>
      <c r="G38" s="752"/>
      <c r="H38" s="752"/>
      <c r="I38" s="45">
        <f t="shared" si="1"/>
        <v>0</v>
      </c>
      <c r="J38" s="125" t="str">
        <f t="shared" si="2"/>
        <v/>
      </c>
      <c r="K38" s="754"/>
    </row>
    <row r="39" spans="1:11" ht="12.75" customHeight="1">
      <c r="A39" s="40" t="s">
        <v>955</v>
      </c>
      <c r="B39" s="170"/>
      <c r="C39" s="767"/>
      <c r="D39" s="772"/>
      <c r="E39" s="752"/>
      <c r="F39" s="752"/>
      <c r="G39" s="752"/>
      <c r="H39" s="752"/>
      <c r="I39" s="45">
        <f t="shared" si="1"/>
        <v>0</v>
      </c>
      <c r="J39" s="125" t="str">
        <f t="shared" si="2"/>
        <v/>
      </c>
      <c r="K39" s="754"/>
    </row>
    <row r="40" spans="1:11" ht="12.75" customHeight="1">
      <c r="A40" s="40" t="s">
        <v>615</v>
      </c>
      <c r="B40" s="170"/>
      <c r="C40" s="767"/>
      <c r="D40" s="772"/>
      <c r="E40" s="752"/>
      <c r="F40" s="752"/>
      <c r="G40" s="752"/>
      <c r="H40" s="752"/>
      <c r="I40" s="45">
        <f t="shared" si="1"/>
        <v>0</v>
      </c>
      <c r="J40" s="125" t="str">
        <f t="shared" si="2"/>
        <v/>
      </c>
      <c r="K40" s="754"/>
    </row>
    <row r="41" spans="1:11" ht="12.75" customHeight="1">
      <c r="A41" s="525" t="s">
        <v>166</v>
      </c>
      <c r="B41" s="170"/>
      <c r="C41" s="767"/>
      <c r="D41" s="772"/>
      <c r="E41" s="752"/>
      <c r="F41" s="752"/>
      <c r="G41" s="752"/>
      <c r="H41" s="752"/>
      <c r="I41" s="45">
        <f>H41-G41</f>
        <v>0</v>
      </c>
      <c r="J41" s="125" t="str">
        <f>IF(I41=0,"",I41/H41)</f>
        <v/>
      </c>
      <c r="K41" s="754"/>
    </row>
    <row r="42" spans="1:11" ht="12.75" customHeight="1">
      <c r="A42" s="40" t="s">
        <v>883</v>
      </c>
      <c r="B42" s="170"/>
      <c r="C42" s="767"/>
      <c r="D42" s="772"/>
      <c r="E42" s="752"/>
      <c r="F42" s="752"/>
      <c r="G42" s="752"/>
      <c r="H42" s="752"/>
      <c r="I42" s="45">
        <f t="shared" si="1"/>
        <v>0</v>
      </c>
      <c r="J42" s="125" t="str">
        <f t="shared" si="2"/>
        <v/>
      </c>
      <c r="K42" s="754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796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23000000</v>
      </c>
      <c r="E50" s="591">
        <f t="shared" si="11"/>
        <v>0</v>
      </c>
      <c r="F50" s="591">
        <f t="shared" si="11"/>
        <v>0</v>
      </c>
      <c r="G50" s="591">
        <f t="shared" si="11"/>
        <v>995295.62999999989</v>
      </c>
      <c r="H50" s="591">
        <f t="shared" si="11"/>
        <v>23000000</v>
      </c>
      <c r="I50" s="591">
        <f t="shared" si="1"/>
        <v>22004704.370000001</v>
      </c>
      <c r="J50" s="592">
        <f t="shared" si="2"/>
        <v>0.95672627695652179</v>
      </c>
      <c r="K50" s="593">
        <f t="shared" si="11"/>
        <v>23000000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662">
        <f t="shared" ref="C52:H52" si="12">C78</f>
        <v>0</v>
      </c>
      <c r="D52" s="684">
        <f t="shared" si="12"/>
        <v>0</v>
      </c>
      <c r="E52" s="415">
        <f t="shared" si="12"/>
        <v>0</v>
      </c>
      <c r="F52" s="415">
        <f t="shared" si="12"/>
        <v>0</v>
      </c>
      <c r="G52" s="415">
        <f t="shared" si="12"/>
        <v>0</v>
      </c>
      <c r="H52" s="415">
        <f t="shared" si="12"/>
        <v>0</v>
      </c>
      <c r="I52" s="45">
        <f t="shared" si="1"/>
        <v>0</v>
      </c>
      <c r="J52" s="125" t="str">
        <f t="shared" si="2"/>
        <v/>
      </c>
      <c r="K52" s="656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391"/>
      <c r="F53" s="391"/>
      <c r="G53" s="391"/>
      <c r="H53" s="391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391"/>
      <c r="F54" s="391"/>
      <c r="G54" s="391"/>
      <c r="H54" s="391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391"/>
      <c r="F55" s="391"/>
      <c r="G55" s="391"/>
      <c r="H55" s="391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391"/>
      <c r="F56" s="391"/>
      <c r="G56" s="391"/>
      <c r="H56" s="391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391"/>
      <c r="F57" s="391"/>
      <c r="G57" s="391"/>
      <c r="H57" s="391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391"/>
      <c r="F58" s="391"/>
      <c r="G58" s="391"/>
      <c r="H58" s="391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>
        <f>23000000</f>
        <v>23000000</v>
      </c>
      <c r="E59" s="391"/>
      <c r="F59" s="391"/>
      <c r="G59" s="391">
        <f>402580.68+592714.95</f>
        <v>995295.62999999989</v>
      </c>
      <c r="H59" s="391">
        <v>23000000</v>
      </c>
      <c r="I59" s="45">
        <f t="shared" si="1"/>
        <v>22004704.370000001</v>
      </c>
      <c r="J59" s="125">
        <f t="shared" si="2"/>
        <v>0.95672627695652179</v>
      </c>
      <c r="K59" s="754">
        <v>23000000</v>
      </c>
    </row>
    <row r="60" spans="1:11" ht="12.75" customHeight="1">
      <c r="A60" s="87" t="s">
        <v>693</v>
      </c>
      <c r="B60" s="170"/>
      <c r="C60" s="767"/>
      <c r="D60" s="772"/>
      <c r="E60" s="391"/>
      <c r="F60" s="391"/>
      <c r="G60" s="391"/>
      <c r="H60" s="391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391"/>
      <c r="F61" s="391"/>
      <c r="G61" s="391"/>
      <c r="H61" s="391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391"/>
      <c r="F62" s="391"/>
      <c r="G62" s="391"/>
      <c r="H62" s="391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1062</v>
      </c>
      <c r="B76" s="237">
        <v>1</v>
      </c>
      <c r="C76" s="113">
        <f t="shared" ref="C76:H76" si="16">C7+C28+C43+C47+C50+C64+C68+C72</f>
        <v>0</v>
      </c>
      <c r="D76" s="272">
        <f t="shared" si="16"/>
        <v>148798195</v>
      </c>
      <c r="E76" s="56">
        <f t="shared" si="16"/>
        <v>0</v>
      </c>
      <c r="F76" s="56">
        <f t="shared" si="16"/>
        <v>449426.98</v>
      </c>
      <c r="G76" s="56">
        <f t="shared" si="16"/>
        <v>4774901.97</v>
      </c>
      <c r="H76" s="56">
        <f t="shared" si="16"/>
        <v>148798195</v>
      </c>
      <c r="I76" s="56">
        <f t="shared" si="1"/>
        <v>144023293.03</v>
      </c>
      <c r="J76" s="294">
        <f t="shared" si="2"/>
        <v>0.96791021577916314</v>
      </c>
      <c r="K76" s="236">
        <f>K7+K28+K43+K47+K50+K64+K68+K72</f>
        <v>148798195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 t="s">
        <v>1063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885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D26" sqref="D26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"&amp;S71Sb&amp; " - "&amp;Head57</f>
        <v>FS194 Maluti-a-Phofung - Supporting Table SC13b Consolidated Monthly Budget Statement - capital expenditure on renewal of existing assets by asset class - M07 January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1065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208272564</v>
      </c>
      <c r="E7" s="103">
        <f t="shared" si="0"/>
        <v>0</v>
      </c>
      <c r="F7" s="103">
        <f t="shared" si="0"/>
        <v>8955263.870000001</v>
      </c>
      <c r="G7" s="103">
        <f t="shared" si="0"/>
        <v>112913663.44</v>
      </c>
      <c r="H7" s="103">
        <f t="shared" si="0"/>
        <v>208272564</v>
      </c>
      <c r="I7" s="102">
        <f t="shared" ref="I7:I62" si="1">H7-G7</f>
        <v>95358900.560000002</v>
      </c>
      <c r="J7" s="592">
        <f t="shared" ref="J7:J66" si="2">IF(I7=0,"",I7/H7)</f>
        <v>0.45785627606716361</v>
      </c>
      <c r="K7" s="617">
        <f>K8+K11+K15+K19+K22</f>
        <v>208272564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47306564</v>
      </c>
      <c r="E8" s="622">
        <f t="shared" si="3"/>
        <v>0</v>
      </c>
      <c r="F8" s="622">
        <f t="shared" si="3"/>
        <v>1000193.35</v>
      </c>
      <c r="G8" s="622">
        <f t="shared" si="3"/>
        <v>22226289.880000003</v>
      </c>
      <c r="H8" s="622">
        <f t="shared" si="3"/>
        <v>47306564</v>
      </c>
      <c r="I8" s="259">
        <f t="shared" si="1"/>
        <v>25080274.119999997</v>
      </c>
      <c r="J8" s="588">
        <f t="shared" si="2"/>
        <v>0.53016478051544802</v>
      </c>
      <c r="K8" s="624">
        <f>SUM(K9:K10)</f>
        <v>47306564</v>
      </c>
    </row>
    <row r="9" spans="1:11" ht="12.75" customHeight="1">
      <c r="A9" s="587" t="s">
        <v>154</v>
      </c>
      <c r="B9" s="170"/>
      <c r="C9" s="767"/>
      <c r="D9" s="390">
        <f>11775000+8000000+8000000+7531564+12000000</f>
        <v>47306564</v>
      </c>
      <c r="E9" s="391"/>
      <c r="F9" s="391">
        <f>789661.35+210532</f>
        <v>1000193.35</v>
      </c>
      <c r="G9" s="391">
        <f>3013205.17+1115286.83+3731545+365961.4+229043.96+496611.4+832250.65+1399583.89+2149250+397605.54+340095.36+268017.82+1198297.45+409870.16+1081912.88+1497680.3+1468075.25+801171.08+430632.39+789661.35+210532</f>
        <v>22226289.880000003</v>
      </c>
      <c r="H9" s="391">
        <v>47306564</v>
      </c>
      <c r="I9" s="259">
        <f t="shared" si="1"/>
        <v>25080274.119999997</v>
      </c>
      <c r="J9" s="588">
        <f t="shared" si="2"/>
        <v>0.53016478051544802</v>
      </c>
      <c r="K9" s="390">
        <f>11775000+8000000+8000000+7531564+12000000</f>
        <v>47306564</v>
      </c>
    </row>
    <row r="10" spans="1:11" ht="12.75" customHeight="1">
      <c r="A10" s="587" t="s">
        <v>155</v>
      </c>
      <c r="B10" s="170"/>
      <c r="C10" s="767"/>
      <c r="D10" s="390"/>
      <c r="E10" s="391"/>
      <c r="F10" s="391"/>
      <c r="G10" s="391"/>
      <c r="H10" s="391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21000000</v>
      </c>
      <c r="E11" s="415">
        <f t="shared" si="4"/>
        <v>0</v>
      </c>
      <c r="F11" s="415">
        <f t="shared" si="4"/>
        <v>2166667.17</v>
      </c>
      <c r="G11" s="415">
        <f t="shared" si="4"/>
        <v>5236842.6099999994</v>
      </c>
      <c r="H11" s="415">
        <f t="shared" si="4"/>
        <v>21000000</v>
      </c>
      <c r="I11" s="259">
        <f t="shared" si="1"/>
        <v>15763157.390000001</v>
      </c>
      <c r="J11" s="588">
        <f t="shared" si="2"/>
        <v>0.75062654238095239</v>
      </c>
      <c r="K11" s="656">
        <f>SUM(K12:K14)</f>
        <v>21000000</v>
      </c>
    </row>
    <row r="12" spans="1:11" ht="12.75" customHeight="1">
      <c r="A12" s="587" t="s">
        <v>157</v>
      </c>
      <c r="B12" s="170"/>
      <c r="C12" s="767"/>
      <c r="D12" s="390"/>
      <c r="E12" s="391"/>
      <c r="F12" s="391"/>
      <c r="G12" s="391"/>
      <c r="H12" s="391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390">
        <f>10000000</f>
        <v>10000000</v>
      </c>
      <c r="E13" s="391"/>
      <c r="F13" s="391">
        <f>2166667.17</f>
        <v>2166667.17</v>
      </c>
      <c r="G13" s="391">
        <f>3070175.44+2166667.17</f>
        <v>5236842.6099999994</v>
      </c>
      <c r="H13" s="391">
        <v>10000000</v>
      </c>
      <c r="I13" s="259">
        <f t="shared" si="1"/>
        <v>4763157.3900000006</v>
      </c>
      <c r="J13" s="588">
        <f t="shared" si="2"/>
        <v>0.47631573900000007</v>
      </c>
      <c r="K13" s="390">
        <f>10000000</f>
        <v>10000000</v>
      </c>
    </row>
    <row r="14" spans="1:11" ht="12.75" customHeight="1">
      <c r="A14" s="587" t="s">
        <v>605</v>
      </c>
      <c r="B14" s="170"/>
      <c r="C14" s="767"/>
      <c r="D14" s="390">
        <f>11000000</f>
        <v>11000000</v>
      </c>
      <c r="E14" s="391"/>
      <c r="F14" s="391"/>
      <c r="G14" s="391">
        <v>0</v>
      </c>
      <c r="H14" s="391">
        <v>11000000</v>
      </c>
      <c r="I14" s="259">
        <f t="shared" si="1"/>
        <v>11000000</v>
      </c>
      <c r="J14" s="588">
        <f t="shared" si="2"/>
        <v>1</v>
      </c>
      <c r="K14" s="390">
        <f>11000000</f>
        <v>11000000</v>
      </c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74320000</v>
      </c>
      <c r="E15" s="415">
        <f t="shared" si="5"/>
        <v>0</v>
      </c>
      <c r="F15" s="415">
        <f t="shared" si="5"/>
        <v>3447243.2800000003</v>
      </c>
      <c r="G15" s="415">
        <f t="shared" si="5"/>
        <v>48990525.539999999</v>
      </c>
      <c r="H15" s="415">
        <f t="shared" si="5"/>
        <v>74320000</v>
      </c>
      <c r="I15" s="259">
        <f t="shared" si="1"/>
        <v>25329474.460000001</v>
      </c>
      <c r="J15" s="588">
        <f t="shared" si="2"/>
        <v>0.34081639477933262</v>
      </c>
      <c r="K15" s="656">
        <f>SUM(K16:K18)</f>
        <v>74320000</v>
      </c>
    </row>
    <row r="16" spans="1:11" ht="12.75" customHeight="1">
      <c r="A16" s="587" t="s">
        <v>160</v>
      </c>
      <c r="B16" s="170"/>
      <c r="C16" s="767"/>
      <c r="D16" s="390"/>
      <c r="E16" s="391"/>
      <c r="F16" s="391"/>
      <c r="G16" s="391"/>
      <c r="H16" s="391"/>
      <c r="I16" s="259">
        <f t="shared" si="1"/>
        <v>0</v>
      </c>
      <c r="J16" s="588" t="str">
        <f t="shared" si="2"/>
        <v/>
      </c>
      <c r="K16" s="390"/>
    </row>
    <row r="17" spans="1:11" ht="12.75" customHeight="1">
      <c r="A17" s="587" t="s">
        <v>161</v>
      </c>
      <c r="B17" s="170"/>
      <c r="C17" s="767"/>
      <c r="D17" s="390">
        <f>44620000</f>
        <v>44620000</v>
      </c>
      <c r="E17" s="391"/>
      <c r="F17" s="391">
        <f>2114950.6</f>
        <v>2114950.6</v>
      </c>
      <c r="G17" s="391">
        <f>3373789.37+8434480.49+9600612.23+7600393.08+6665945.83+2114950.6</f>
        <v>37790171.600000001</v>
      </c>
      <c r="H17" s="391">
        <v>44620000</v>
      </c>
      <c r="I17" s="259">
        <f t="shared" si="1"/>
        <v>6829828.3999999985</v>
      </c>
      <c r="J17" s="588">
        <f t="shared" si="2"/>
        <v>0.15306652622142533</v>
      </c>
      <c r="K17" s="390">
        <f>44620000</f>
        <v>44620000</v>
      </c>
    </row>
    <row r="18" spans="1:11" ht="12.75" customHeight="1">
      <c r="A18" s="587" t="s">
        <v>162</v>
      </c>
      <c r="B18" s="170"/>
      <c r="C18" s="767"/>
      <c r="D18" s="390">
        <f>29700000</f>
        <v>29700000</v>
      </c>
      <c r="E18" s="391"/>
      <c r="F18" s="391">
        <f>1332292.68</f>
        <v>1332292.68</v>
      </c>
      <c r="G18" s="391">
        <f>2158165.76+2863636.54+2598134.24+2248124.72+1332292.68</f>
        <v>11200353.939999999</v>
      </c>
      <c r="H18" s="391">
        <v>29700000</v>
      </c>
      <c r="I18" s="259">
        <f t="shared" si="1"/>
        <v>18499646.060000002</v>
      </c>
      <c r="J18" s="588">
        <f t="shared" si="2"/>
        <v>0.62288370572390583</v>
      </c>
      <c r="K18" s="390">
        <f>29700000</f>
        <v>29700000</v>
      </c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12000000</v>
      </c>
      <c r="E19" s="415">
        <f t="shared" si="6"/>
        <v>0</v>
      </c>
      <c r="F19" s="415">
        <f t="shared" si="6"/>
        <v>691571.18</v>
      </c>
      <c r="G19" s="415">
        <f t="shared" si="6"/>
        <v>5195276.0999999996</v>
      </c>
      <c r="H19" s="415">
        <f t="shared" si="6"/>
        <v>12000000</v>
      </c>
      <c r="I19" s="259">
        <f t="shared" si="1"/>
        <v>6804723.9000000004</v>
      </c>
      <c r="J19" s="588">
        <f t="shared" si="2"/>
        <v>0.56706032500000003</v>
      </c>
      <c r="K19" s="656">
        <f>SUM(K20:K21)</f>
        <v>12000000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>
        <f>12000000</f>
        <v>12000000</v>
      </c>
      <c r="E21" s="752"/>
      <c r="F21" s="752">
        <f>691571.18</f>
        <v>691571.18</v>
      </c>
      <c r="G21" s="752">
        <f>744197.47+3133564.8+625942.65+691571.18</f>
        <v>5195276.0999999996</v>
      </c>
      <c r="H21" s="752">
        <v>12000000</v>
      </c>
      <c r="I21" s="259">
        <f t="shared" si="1"/>
        <v>6804723.9000000004</v>
      </c>
      <c r="J21" s="588">
        <f t="shared" si="2"/>
        <v>0.56706032500000003</v>
      </c>
      <c r="K21" s="764">
        <f>12000000</f>
        <v>12000000</v>
      </c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53646000</v>
      </c>
      <c r="E22" s="415">
        <f t="shared" si="7"/>
        <v>0</v>
      </c>
      <c r="F22" s="415">
        <f t="shared" si="7"/>
        <v>1649588.89</v>
      </c>
      <c r="G22" s="415">
        <f t="shared" si="7"/>
        <v>31264729.310000002</v>
      </c>
      <c r="H22" s="415">
        <f t="shared" si="7"/>
        <v>53646000</v>
      </c>
      <c r="I22" s="259">
        <f t="shared" si="1"/>
        <v>22381270.689999998</v>
      </c>
      <c r="J22" s="588">
        <f t="shared" si="2"/>
        <v>0.41720297300823916</v>
      </c>
      <c r="K22" s="656">
        <f>SUM(K23:K26)</f>
        <v>53646000</v>
      </c>
    </row>
    <row r="23" spans="1:11" ht="12.75" customHeight="1">
      <c r="A23" s="587" t="s">
        <v>945</v>
      </c>
      <c r="B23" s="170"/>
      <c r="C23" s="767"/>
      <c r="D23" s="390">
        <f>20000000+22084000</f>
        <v>42084000</v>
      </c>
      <c r="E23" s="391"/>
      <c r="F23" s="391">
        <f>1648288.89</f>
        <v>1648288.89</v>
      </c>
      <c r="G23" s="391">
        <f>2737759.71+1793260+2678184.56+1648288.89+4112005.72+7369260+1648288.89</f>
        <v>21987047.770000003</v>
      </c>
      <c r="H23" s="391">
        <v>42084000</v>
      </c>
      <c r="I23" s="259">
        <f t="shared" si="1"/>
        <v>20096952.229999997</v>
      </c>
      <c r="J23" s="588">
        <f t="shared" si="2"/>
        <v>0.47754377506890971</v>
      </c>
      <c r="K23" s="390">
        <f>20000000+22084000</f>
        <v>42084000</v>
      </c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390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390"/>
    </row>
    <row r="26" spans="1:11" ht="12.75" customHeight="1">
      <c r="A26" s="587" t="s">
        <v>883</v>
      </c>
      <c r="B26" s="170"/>
      <c r="C26" s="767"/>
      <c r="D26" s="390">
        <f>8062000+3500000</f>
        <v>11562000</v>
      </c>
      <c r="E26" s="391"/>
      <c r="F26" s="391">
        <f>1300</f>
        <v>1300</v>
      </c>
      <c r="G26" s="391">
        <f>3537940+11900+916008.61+13200+406661+375394.22+2364320+410754.19+13200+818225.87+408777.65+1300</f>
        <v>9277681.540000001</v>
      </c>
      <c r="H26" s="391">
        <v>11562000</v>
      </c>
      <c r="I26" s="259">
        <f t="shared" si="1"/>
        <v>2284318.459999999</v>
      </c>
      <c r="J26" s="588">
        <f t="shared" si="2"/>
        <v>0.19757122124199958</v>
      </c>
      <c r="K26" s="390">
        <f>8062000+3500000</f>
        <v>11562000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36953000</v>
      </c>
      <c r="E28" s="591">
        <f t="shared" si="8"/>
        <v>0</v>
      </c>
      <c r="F28" s="591">
        <f t="shared" si="8"/>
        <v>349404.53</v>
      </c>
      <c r="G28" s="591">
        <f t="shared" si="8"/>
        <v>6736786.1400000006</v>
      </c>
      <c r="H28" s="591">
        <f t="shared" si="8"/>
        <v>36953000</v>
      </c>
      <c r="I28" s="591">
        <f t="shared" si="1"/>
        <v>30216213.859999999</v>
      </c>
      <c r="J28" s="592">
        <f t="shared" si="2"/>
        <v>0.81769311990907367</v>
      </c>
      <c r="K28" s="593">
        <f>SUM(K29:K42)</f>
        <v>36953000</v>
      </c>
    </row>
    <row r="29" spans="1:11" ht="12.75" customHeight="1">
      <c r="A29" s="40" t="s">
        <v>623</v>
      </c>
      <c r="B29" s="170"/>
      <c r="C29" s="767"/>
      <c r="D29" s="772"/>
      <c r="E29" s="391"/>
      <c r="F29" s="391"/>
      <c r="G29" s="391"/>
      <c r="H29" s="391"/>
      <c r="I29" s="45">
        <f t="shared" si="1"/>
        <v>0</v>
      </c>
      <c r="J29" s="125" t="str">
        <f t="shared" si="2"/>
        <v/>
      </c>
      <c r="K29" s="772"/>
    </row>
    <row r="30" spans="1:11" ht="12.75" customHeight="1">
      <c r="A30" s="40" t="s">
        <v>618</v>
      </c>
      <c r="B30" s="170"/>
      <c r="C30" s="767"/>
      <c r="D30" s="772"/>
      <c r="E30" s="391"/>
      <c r="F30" s="391"/>
      <c r="G30" s="391"/>
      <c r="H30" s="391"/>
      <c r="I30" s="45">
        <f t="shared" si="1"/>
        <v>0</v>
      </c>
      <c r="J30" s="125" t="str">
        <f t="shared" si="2"/>
        <v/>
      </c>
      <c r="K30" s="772"/>
    </row>
    <row r="31" spans="1:11" ht="12.75" customHeight="1">
      <c r="A31" s="40" t="s">
        <v>617</v>
      </c>
      <c r="B31" s="170"/>
      <c r="C31" s="767"/>
      <c r="D31" s="772"/>
      <c r="E31" s="391"/>
      <c r="F31" s="391"/>
      <c r="G31" s="391"/>
      <c r="H31" s="391"/>
      <c r="I31" s="45">
        <f t="shared" si="1"/>
        <v>0</v>
      </c>
      <c r="J31" s="125" t="str">
        <f t="shared" si="2"/>
        <v/>
      </c>
      <c r="K31" s="772"/>
    </row>
    <row r="32" spans="1:11" ht="12.75" customHeight="1">
      <c r="A32" s="40" t="s">
        <v>622</v>
      </c>
      <c r="B32" s="170"/>
      <c r="C32" s="767"/>
      <c r="D32" s="772">
        <f>9000000</f>
        <v>9000000</v>
      </c>
      <c r="E32" s="391"/>
      <c r="F32" s="391"/>
      <c r="G32" s="391">
        <v>0</v>
      </c>
      <c r="H32" s="391">
        <v>9000000</v>
      </c>
      <c r="I32" s="45">
        <f t="shared" si="1"/>
        <v>9000000</v>
      </c>
      <c r="J32" s="125">
        <f t="shared" si="2"/>
        <v>1</v>
      </c>
      <c r="K32" s="772">
        <f>9000000</f>
        <v>9000000</v>
      </c>
    </row>
    <row r="33" spans="1:11" ht="12.75" customHeight="1">
      <c r="A33" s="40" t="s">
        <v>697</v>
      </c>
      <c r="B33" s="170"/>
      <c r="C33" s="767"/>
      <c r="D33" s="772"/>
      <c r="E33" s="391"/>
      <c r="F33" s="391"/>
      <c r="G33" s="391"/>
      <c r="H33" s="391"/>
      <c r="I33" s="45">
        <f t="shared" si="1"/>
        <v>0</v>
      </c>
      <c r="J33" s="125" t="str">
        <f t="shared" si="2"/>
        <v/>
      </c>
      <c r="K33" s="772"/>
    </row>
    <row r="34" spans="1:11" ht="12.75" customHeight="1">
      <c r="A34" s="40" t="s">
        <v>621</v>
      </c>
      <c r="B34" s="170"/>
      <c r="C34" s="767"/>
      <c r="D34" s="772">
        <f>19953000</f>
        <v>19953000</v>
      </c>
      <c r="E34" s="391"/>
      <c r="F34" s="391">
        <f>349404.53</f>
        <v>349404.53</v>
      </c>
      <c r="G34" s="391">
        <f>826938.4+625110.71+3098902.89+349404.53</f>
        <v>4900356.53</v>
      </c>
      <c r="H34" s="391">
        <v>19953000</v>
      </c>
      <c r="I34" s="45">
        <f t="shared" si="1"/>
        <v>15052643.469999999</v>
      </c>
      <c r="J34" s="125">
        <f t="shared" si="2"/>
        <v>0.75440502530947717</v>
      </c>
      <c r="K34" s="772">
        <f>19953000</f>
        <v>19953000</v>
      </c>
    </row>
    <row r="35" spans="1:11" ht="12.75" customHeight="1">
      <c r="A35" s="40" t="s">
        <v>619</v>
      </c>
      <c r="B35" s="170"/>
      <c r="C35" s="767"/>
      <c r="D35" s="772"/>
      <c r="E35" s="391"/>
      <c r="F35" s="391"/>
      <c r="G35" s="391"/>
      <c r="H35" s="391"/>
      <c r="I35" s="45">
        <f t="shared" si="1"/>
        <v>0</v>
      </c>
      <c r="J35" s="125" t="str">
        <f t="shared" si="2"/>
        <v/>
      </c>
      <c r="K35" s="772"/>
    </row>
    <row r="36" spans="1:11" ht="12.75" customHeight="1">
      <c r="A36" s="40" t="s">
        <v>620</v>
      </c>
      <c r="B36" s="170"/>
      <c r="C36" s="767"/>
      <c r="D36" s="772"/>
      <c r="E36" s="391"/>
      <c r="F36" s="391"/>
      <c r="G36" s="391"/>
      <c r="H36" s="391"/>
      <c r="I36" s="45">
        <f t="shared" si="1"/>
        <v>0</v>
      </c>
      <c r="J36" s="125" t="str">
        <f t="shared" si="2"/>
        <v/>
      </c>
      <c r="K36" s="772"/>
    </row>
    <row r="37" spans="1:11" ht="12.75" customHeight="1">
      <c r="A37" s="40" t="s">
        <v>741</v>
      </c>
      <c r="B37" s="170"/>
      <c r="C37" s="767"/>
      <c r="D37" s="772"/>
      <c r="E37" s="391"/>
      <c r="F37" s="391"/>
      <c r="G37" s="391"/>
      <c r="H37" s="391"/>
      <c r="I37" s="45">
        <f t="shared" si="1"/>
        <v>0</v>
      </c>
      <c r="J37" s="125" t="str">
        <f t="shared" si="2"/>
        <v/>
      </c>
      <c r="K37" s="772"/>
    </row>
    <row r="38" spans="1:11" ht="12.75" customHeight="1">
      <c r="A38" s="40" t="s">
        <v>954</v>
      </c>
      <c r="B38" s="170"/>
      <c r="C38" s="767"/>
      <c r="D38" s="772"/>
      <c r="E38" s="391"/>
      <c r="F38" s="391"/>
      <c r="G38" s="391"/>
      <c r="H38" s="391"/>
      <c r="I38" s="45">
        <f t="shared" si="1"/>
        <v>0</v>
      </c>
      <c r="J38" s="125" t="str">
        <f t="shared" si="2"/>
        <v/>
      </c>
      <c r="K38" s="772"/>
    </row>
    <row r="39" spans="1:11" ht="12.75" customHeight="1">
      <c r="A39" s="40" t="s">
        <v>955</v>
      </c>
      <c r="B39" s="170"/>
      <c r="C39" s="767"/>
      <c r="D39" s="772"/>
      <c r="E39" s="391"/>
      <c r="F39" s="391"/>
      <c r="G39" s="391"/>
      <c r="H39" s="391"/>
      <c r="I39" s="45">
        <f t="shared" si="1"/>
        <v>0</v>
      </c>
      <c r="J39" s="125" t="str">
        <f t="shared" si="2"/>
        <v/>
      </c>
      <c r="K39" s="772"/>
    </row>
    <row r="40" spans="1:11" ht="12.75" customHeight="1">
      <c r="A40" s="40" t="s">
        <v>615</v>
      </c>
      <c r="B40" s="170"/>
      <c r="C40" s="767"/>
      <c r="D40" s="772">
        <f>8000000</f>
        <v>8000000</v>
      </c>
      <c r="E40" s="391"/>
      <c r="F40" s="391"/>
      <c r="G40" s="391">
        <f>749731.24+864171.62+222526.75</f>
        <v>1836429.6099999999</v>
      </c>
      <c r="H40" s="391">
        <v>8000000</v>
      </c>
      <c r="I40" s="45">
        <f t="shared" si="1"/>
        <v>6163570.3900000006</v>
      </c>
      <c r="J40" s="125">
        <f t="shared" si="2"/>
        <v>0.77044629875000004</v>
      </c>
      <c r="K40" s="772">
        <f>8000000</f>
        <v>8000000</v>
      </c>
    </row>
    <row r="41" spans="1:11" ht="12.75" customHeight="1">
      <c r="A41" s="525" t="s">
        <v>166</v>
      </c>
      <c r="B41" s="170"/>
      <c r="C41" s="767"/>
      <c r="D41" s="772"/>
      <c r="E41" s="391"/>
      <c r="F41" s="391"/>
      <c r="G41" s="391"/>
      <c r="H41" s="391"/>
      <c r="I41" s="45">
        <f t="shared" si="1"/>
        <v>0</v>
      </c>
      <c r="J41" s="125" t="str">
        <f t="shared" si="2"/>
        <v/>
      </c>
      <c r="K41" s="772"/>
    </row>
    <row r="42" spans="1:11" ht="12.75" customHeight="1">
      <c r="A42" s="40" t="s">
        <v>883</v>
      </c>
      <c r="B42" s="170"/>
      <c r="C42" s="767"/>
      <c r="D42" s="772"/>
      <c r="E42" s="391"/>
      <c r="F42" s="391"/>
      <c r="G42" s="391"/>
      <c r="H42" s="391"/>
      <c r="I42" s="45">
        <f t="shared" si="1"/>
        <v>0</v>
      </c>
      <c r="J42" s="125" t="str">
        <f t="shared" si="2"/>
        <v/>
      </c>
      <c r="K42" s="772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796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0</v>
      </c>
      <c r="E50" s="591">
        <f t="shared" si="11"/>
        <v>0</v>
      </c>
      <c r="F50" s="591">
        <f t="shared" si="11"/>
        <v>0</v>
      </c>
      <c r="G50" s="591">
        <f t="shared" si="11"/>
        <v>0</v>
      </c>
      <c r="H50" s="591">
        <f t="shared" si="11"/>
        <v>0</v>
      </c>
      <c r="I50" s="591">
        <f t="shared" si="1"/>
        <v>0</v>
      </c>
      <c r="J50" s="592" t="str">
        <f t="shared" si="2"/>
        <v/>
      </c>
      <c r="K50" s="593">
        <f t="shared" si="11"/>
        <v>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662">
        <f t="shared" ref="C52:H52" si="12">C78</f>
        <v>0</v>
      </c>
      <c r="D52" s="684">
        <f t="shared" si="12"/>
        <v>0</v>
      </c>
      <c r="E52" s="415">
        <f t="shared" si="12"/>
        <v>0</v>
      </c>
      <c r="F52" s="415">
        <f t="shared" si="12"/>
        <v>0</v>
      </c>
      <c r="G52" s="415">
        <f t="shared" si="12"/>
        <v>0</v>
      </c>
      <c r="H52" s="415">
        <f t="shared" si="12"/>
        <v>0</v>
      </c>
      <c r="I52" s="45">
        <f t="shared" si="1"/>
        <v>0</v>
      </c>
      <c r="J52" s="125" t="str">
        <f t="shared" si="2"/>
        <v/>
      </c>
      <c r="K52" s="656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752"/>
      <c r="F53" s="752"/>
      <c r="G53" s="752"/>
      <c r="H53" s="752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752"/>
      <c r="F54" s="752"/>
      <c r="G54" s="752"/>
      <c r="H54" s="752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752"/>
      <c r="F55" s="752"/>
      <c r="G55" s="752"/>
      <c r="H55" s="752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752"/>
      <c r="F56" s="752"/>
      <c r="G56" s="752"/>
      <c r="H56" s="752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752"/>
      <c r="F57" s="752"/>
      <c r="G57" s="752"/>
      <c r="H57" s="752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752"/>
      <c r="F58" s="752"/>
      <c r="G58" s="752"/>
      <c r="H58" s="752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/>
      <c r="E59" s="752"/>
      <c r="F59" s="752"/>
      <c r="G59" s="752"/>
      <c r="H59" s="752"/>
      <c r="I59" s="45">
        <f t="shared" si="1"/>
        <v>0</v>
      </c>
      <c r="J59" s="125" t="str">
        <f t="shared" si="2"/>
        <v/>
      </c>
      <c r="K59" s="754"/>
    </row>
    <row r="60" spans="1:11" ht="12.75" customHeight="1">
      <c r="A60" s="87" t="s">
        <v>693</v>
      </c>
      <c r="B60" s="170"/>
      <c r="C60" s="767"/>
      <c r="D60" s="772"/>
      <c r="E60" s="752"/>
      <c r="F60" s="752"/>
      <c r="G60" s="752"/>
      <c r="H60" s="752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752"/>
      <c r="F61" s="752"/>
      <c r="G61" s="752"/>
      <c r="H61" s="752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752"/>
      <c r="F62" s="752"/>
      <c r="G62" s="752"/>
      <c r="H62" s="752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1064</v>
      </c>
      <c r="B76" s="237">
        <v>1</v>
      </c>
      <c r="C76" s="113">
        <f t="shared" ref="C76:H76" si="16">C7+C28+C43+C47+C50+C64+C68+C72</f>
        <v>0</v>
      </c>
      <c r="D76" s="272">
        <f t="shared" si="16"/>
        <v>245225564</v>
      </c>
      <c r="E76" s="56">
        <f t="shared" si="16"/>
        <v>0</v>
      </c>
      <c r="F76" s="56">
        <f t="shared" si="16"/>
        <v>9304668.4000000004</v>
      </c>
      <c r="G76" s="56">
        <f t="shared" si="16"/>
        <v>119650449.58</v>
      </c>
      <c r="H76" s="56">
        <f t="shared" si="16"/>
        <v>245225564</v>
      </c>
      <c r="I76" s="56">
        <f>H76-G76</f>
        <v>125575114.42</v>
      </c>
      <c r="J76" s="294">
        <f>IF(I76=0,"",I76/H76)</f>
        <v>0.51208003101993071</v>
      </c>
      <c r="K76" s="236">
        <f>K7+K28+K43+K47+K50+K64+K68+K72</f>
        <v>245225564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 t="s">
        <v>1063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885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8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G76" sqref="G76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"&amp;S71Sc&amp; " - "&amp;Head57</f>
        <v>FS194 Maluti-a-Phofung - Supporting Table SC13c Consolidated Monthly Budget Statement - expenditure on repairs and maintenance by asset class - M07 January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1066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60052629</v>
      </c>
      <c r="E7" s="103">
        <f t="shared" si="0"/>
        <v>0</v>
      </c>
      <c r="F7" s="103">
        <f t="shared" si="0"/>
        <v>1788036.13</v>
      </c>
      <c r="G7" s="103">
        <f t="shared" si="0"/>
        <v>29732876.41</v>
      </c>
      <c r="H7" s="103">
        <f t="shared" si="0"/>
        <v>60052629</v>
      </c>
      <c r="I7" s="102">
        <f t="shared" ref="I7:I62" si="1">H7-G7</f>
        <v>30319752.59</v>
      </c>
      <c r="J7" s="592">
        <f t="shared" ref="J7:J66" si="2">IF(I7=0,"",I7/H7)</f>
        <v>0.50488634877250749</v>
      </c>
      <c r="K7" s="617">
        <f>K8+K11+K15+K19+K22</f>
        <v>60052629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38700000</v>
      </c>
      <c r="E8" s="622">
        <f t="shared" si="3"/>
        <v>0</v>
      </c>
      <c r="F8" s="622">
        <f t="shared" si="3"/>
        <v>1291761.28</v>
      </c>
      <c r="G8" s="622">
        <f t="shared" si="3"/>
        <v>15441476.390000001</v>
      </c>
      <c r="H8" s="622">
        <f t="shared" si="3"/>
        <v>38700000</v>
      </c>
      <c r="I8" s="259">
        <f t="shared" si="1"/>
        <v>23258523.609999999</v>
      </c>
      <c r="J8" s="588">
        <f t="shared" si="2"/>
        <v>0.60099544211886302</v>
      </c>
      <c r="K8" s="624">
        <f>SUM(K9:K10)</f>
        <v>38700000</v>
      </c>
    </row>
    <row r="9" spans="1:11" ht="12.75" customHeight="1">
      <c r="A9" s="587" t="s">
        <v>154</v>
      </c>
      <c r="B9" s="170"/>
      <c r="C9" s="767"/>
      <c r="D9" s="390">
        <f>37900000+300000</f>
        <v>38200000</v>
      </c>
      <c r="E9" s="391"/>
      <c r="F9" s="391">
        <f>1291761.28</f>
        <v>1291761.28</v>
      </c>
      <c r="G9" s="391">
        <f>1234.99+5431478.02+5171864.67+1034619.63+1634783.9+821990+1291761.28</f>
        <v>15387732.49</v>
      </c>
      <c r="H9" s="391">
        <v>38200000</v>
      </c>
      <c r="I9" s="259">
        <f t="shared" si="1"/>
        <v>22812267.509999998</v>
      </c>
      <c r="J9" s="588">
        <f t="shared" si="2"/>
        <v>0.59717977774869102</v>
      </c>
      <c r="K9" s="390">
        <f>37900000+300000</f>
        <v>38200000</v>
      </c>
    </row>
    <row r="10" spans="1:11" ht="12.75" customHeight="1">
      <c r="A10" s="587" t="s">
        <v>155</v>
      </c>
      <c r="B10" s="170"/>
      <c r="C10" s="767"/>
      <c r="D10" s="390">
        <f>500000</f>
        <v>500000</v>
      </c>
      <c r="E10" s="391"/>
      <c r="F10" s="391"/>
      <c r="G10" s="391">
        <f>53743.9</f>
        <v>53743.9</v>
      </c>
      <c r="H10" s="391">
        <v>500000</v>
      </c>
      <c r="I10" s="259">
        <f t="shared" si="1"/>
        <v>446256.1</v>
      </c>
      <c r="J10" s="588">
        <f t="shared" si="2"/>
        <v>0.89251219999999998</v>
      </c>
      <c r="K10" s="390">
        <f>500000</f>
        <v>500000</v>
      </c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21302629</v>
      </c>
      <c r="E11" s="415">
        <f t="shared" si="4"/>
        <v>0</v>
      </c>
      <c r="F11" s="415">
        <f t="shared" si="4"/>
        <v>496274.85</v>
      </c>
      <c r="G11" s="415">
        <f t="shared" si="4"/>
        <v>14291400.02</v>
      </c>
      <c r="H11" s="415">
        <f t="shared" si="4"/>
        <v>21302629</v>
      </c>
      <c r="I11" s="259">
        <f t="shared" si="1"/>
        <v>7011228.9800000004</v>
      </c>
      <c r="J11" s="588">
        <f t="shared" si="2"/>
        <v>0.3291250568181045</v>
      </c>
      <c r="K11" s="656">
        <f>SUM(K12:K14)</f>
        <v>21302629</v>
      </c>
    </row>
    <row r="12" spans="1:11" ht="12.75" customHeight="1">
      <c r="A12" s="587" t="s">
        <v>157</v>
      </c>
      <c r="B12" s="170"/>
      <c r="C12" s="767"/>
      <c r="D12" s="390"/>
      <c r="E12" s="391"/>
      <c r="F12" s="391"/>
      <c r="G12" s="391"/>
      <c r="H12" s="391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390">
        <f>5200000+4800000</f>
        <v>10000000</v>
      </c>
      <c r="E13" s="391"/>
      <c r="F13" s="391">
        <f>-78494.1</f>
        <v>-78494.100000000006</v>
      </c>
      <c r="G13" s="391">
        <f>835.09+14574.54+115907.84+93120+108158.07+7017686.68+1360050.11-78494.1</f>
        <v>8631838.2300000004</v>
      </c>
      <c r="H13" s="391">
        <v>10000000</v>
      </c>
      <c r="I13" s="259">
        <f t="shared" si="1"/>
        <v>1368161.7699999996</v>
      </c>
      <c r="J13" s="588">
        <f t="shared" si="2"/>
        <v>0.13681617699999996</v>
      </c>
      <c r="K13" s="390">
        <f>5200000+4800000</f>
        <v>10000000</v>
      </c>
    </row>
    <row r="14" spans="1:11" ht="12.75" customHeight="1">
      <c r="A14" s="587" t="s">
        <v>605</v>
      </c>
      <c r="B14" s="170"/>
      <c r="C14" s="767"/>
      <c r="D14" s="390">
        <f>7302629+4000000</f>
        <v>11302629</v>
      </c>
      <c r="E14" s="391"/>
      <c r="F14" s="391">
        <f>574768.95</f>
        <v>574768.94999999995</v>
      </c>
      <c r="G14" s="391">
        <f>965754.53+555060.3+865470+290078.97+290078.97+754580.55+80043+1181776.52+101950+574768.95</f>
        <v>5659561.79</v>
      </c>
      <c r="H14" s="391">
        <v>11302629</v>
      </c>
      <c r="I14" s="259">
        <f t="shared" si="1"/>
        <v>5643067.21</v>
      </c>
      <c r="J14" s="588">
        <f t="shared" si="2"/>
        <v>0.4992703210907834</v>
      </c>
      <c r="K14" s="390">
        <f>7302629+4000000</f>
        <v>11302629</v>
      </c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0</v>
      </c>
      <c r="E15" s="415">
        <f t="shared" si="5"/>
        <v>0</v>
      </c>
      <c r="F15" s="415">
        <f t="shared" si="5"/>
        <v>0</v>
      </c>
      <c r="G15" s="415">
        <f t="shared" si="5"/>
        <v>0</v>
      </c>
      <c r="H15" s="415">
        <f t="shared" si="5"/>
        <v>0</v>
      </c>
      <c r="I15" s="259">
        <f t="shared" si="1"/>
        <v>0</v>
      </c>
      <c r="J15" s="588" t="str">
        <f t="shared" si="2"/>
        <v/>
      </c>
      <c r="K15" s="656">
        <f>SUM(K16:K18)</f>
        <v>0</v>
      </c>
    </row>
    <row r="16" spans="1:11" ht="12.75" customHeight="1">
      <c r="A16" s="587" t="s">
        <v>160</v>
      </c>
      <c r="B16" s="170"/>
      <c r="C16" s="767"/>
      <c r="D16" s="764"/>
      <c r="E16" s="752"/>
      <c r="F16" s="752"/>
      <c r="G16" s="752"/>
      <c r="H16" s="752"/>
      <c r="I16" s="259">
        <f t="shared" si="1"/>
        <v>0</v>
      </c>
      <c r="J16" s="588" t="str">
        <f t="shared" si="2"/>
        <v/>
      </c>
      <c r="K16" s="754"/>
    </row>
    <row r="17" spans="1:11" ht="12.75" customHeight="1">
      <c r="A17" s="587" t="s">
        <v>161</v>
      </c>
      <c r="B17" s="170"/>
      <c r="C17" s="767"/>
      <c r="D17" s="764"/>
      <c r="E17" s="752"/>
      <c r="F17" s="752"/>
      <c r="G17" s="752"/>
      <c r="H17" s="752"/>
      <c r="I17" s="259">
        <f t="shared" si="1"/>
        <v>0</v>
      </c>
      <c r="J17" s="588" t="str">
        <f t="shared" si="2"/>
        <v/>
      </c>
      <c r="K17" s="754"/>
    </row>
    <row r="18" spans="1:11" ht="12.75" customHeight="1">
      <c r="A18" s="587" t="s">
        <v>162</v>
      </c>
      <c r="B18" s="170"/>
      <c r="C18" s="767"/>
      <c r="D18" s="764"/>
      <c r="E18" s="752"/>
      <c r="F18" s="752"/>
      <c r="G18" s="752"/>
      <c r="H18" s="752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0</v>
      </c>
      <c r="E19" s="415">
        <f t="shared" si="6"/>
        <v>0</v>
      </c>
      <c r="F19" s="415">
        <f t="shared" si="6"/>
        <v>0</v>
      </c>
      <c r="G19" s="415">
        <f t="shared" si="6"/>
        <v>0</v>
      </c>
      <c r="H19" s="415">
        <f t="shared" si="6"/>
        <v>0</v>
      </c>
      <c r="I19" s="259">
        <f t="shared" si="1"/>
        <v>0</v>
      </c>
      <c r="J19" s="588" t="str">
        <f t="shared" si="2"/>
        <v/>
      </c>
      <c r="K19" s="656">
        <f>SUM(K20:K21)</f>
        <v>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/>
      <c r="E21" s="752"/>
      <c r="F21" s="752"/>
      <c r="G21" s="752"/>
      <c r="H21" s="752"/>
      <c r="I21" s="259">
        <f t="shared" si="1"/>
        <v>0</v>
      </c>
      <c r="J21" s="588" t="str">
        <f t="shared" si="2"/>
        <v/>
      </c>
      <c r="K21" s="754"/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50000</v>
      </c>
      <c r="E22" s="415">
        <f t="shared" si="7"/>
        <v>0</v>
      </c>
      <c r="F22" s="415">
        <f t="shared" si="7"/>
        <v>0</v>
      </c>
      <c r="G22" s="415">
        <f t="shared" si="7"/>
        <v>0</v>
      </c>
      <c r="H22" s="415">
        <f t="shared" si="7"/>
        <v>50000</v>
      </c>
      <c r="I22" s="259">
        <f t="shared" si="1"/>
        <v>50000</v>
      </c>
      <c r="J22" s="588">
        <f t="shared" si="2"/>
        <v>1</v>
      </c>
      <c r="K22" s="656">
        <f>SUM(K23:K26)</f>
        <v>50000</v>
      </c>
    </row>
    <row r="23" spans="1:11" ht="12.75" customHeight="1">
      <c r="A23" s="587" t="s">
        <v>945</v>
      </c>
      <c r="B23" s="170"/>
      <c r="C23" s="767"/>
      <c r="D23" s="390"/>
      <c r="E23" s="391"/>
      <c r="F23" s="391"/>
      <c r="G23" s="391"/>
      <c r="H23" s="391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390"/>
      <c r="E24" s="391"/>
      <c r="F24" s="391"/>
      <c r="G24" s="391"/>
      <c r="H24" s="391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390"/>
      <c r="E25" s="391"/>
      <c r="F25" s="391"/>
      <c r="G25" s="391"/>
      <c r="H25" s="391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390">
        <f>50000</f>
        <v>50000</v>
      </c>
      <c r="E26" s="391"/>
      <c r="F26" s="391"/>
      <c r="G26" s="391"/>
      <c r="H26" s="391">
        <v>50000</v>
      </c>
      <c r="I26" s="259">
        <f t="shared" si="1"/>
        <v>50000</v>
      </c>
      <c r="J26" s="588">
        <f t="shared" si="2"/>
        <v>1</v>
      </c>
      <c r="K26" s="390">
        <f>50000</f>
        <v>50000</v>
      </c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875763</v>
      </c>
      <c r="E28" s="591">
        <f t="shared" si="8"/>
        <v>0</v>
      </c>
      <c r="F28" s="591">
        <f t="shared" si="8"/>
        <v>0</v>
      </c>
      <c r="G28" s="591">
        <f t="shared" si="8"/>
        <v>159737.16</v>
      </c>
      <c r="H28" s="591">
        <f t="shared" si="8"/>
        <v>875763</v>
      </c>
      <c r="I28" s="591">
        <f t="shared" si="1"/>
        <v>716025.84</v>
      </c>
      <c r="J28" s="592">
        <f t="shared" si="2"/>
        <v>0.81760229651172744</v>
      </c>
      <c r="K28" s="593">
        <f>SUM(K29:K42)</f>
        <v>875763</v>
      </c>
    </row>
    <row r="29" spans="1:11" ht="12.75" customHeight="1">
      <c r="A29" s="40" t="s">
        <v>623</v>
      </c>
      <c r="B29" s="170"/>
      <c r="C29" s="767"/>
      <c r="D29" s="772">
        <f>250000</f>
        <v>250000</v>
      </c>
      <c r="E29" s="391"/>
      <c r="F29" s="391"/>
      <c r="G29" s="391">
        <f>19908.7+54511.8+27654.15+51857.51+5805</f>
        <v>159737.16</v>
      </c>
      <c r="H29" s="391">
        <v>250000</v>
      </c>
      <c r="I29" s="45">
        <f t="shared" si="1"/>
        <v>90262.84</v>
      </c>
      <c r="J29" s="125">
        <f t="shared" si="2"/>
        <v>0.36105135999999999</v>
      </c>
      <c r="K29" s="772">
        <f>250000</f>
        <v>250000</v>
      </c>
    </row>
    <row r="30" spans="1:11" ht="12.75" customHeight="1">
      <c r="A30" s="40" t="s">
        <v>618</v>
      </c>
      <c r="B30" s="170"/>
      <c r="C30" s="767"/>
      <c r="D30" s="772"/>
      <c r="E30" s="391"/>
      <c r="F30" s="391"/>
      <c r="G30" s="391"/>
      <c r="H30" s="391"/>
      <c r="I30" s="45">
        <f t="shared" si="1"/>
        <v>0</v>
      </c>
      <c r="J30" s="125" t="str">
        <f t="shared" si="2"/>
        <v/>
      </c>
      <c r="K30" s="772"/>
    </row>
    <row r="31" spans="1:11" ht="12.75" customHeight="1">
      <c r="A31" s="40" t="s">
        <v>617</v>
      </c>
      <c r="B31" s="170"/>
      <c r="C31" s="767"/>
      <c r="D31" s="772"/>
      <c r="E31" s="391"/>
      <c r="F31" s="391"/>
      <c r="G31" s="391"/>
      <c r="H31" s="391"/>
      <c r="I31" s="45">
        <f t="shared" si="1"/>
        <v>0</v>
      </c>
      <c r="J31" s="125" t="str">
        <f t="shared" si="2"/>
        <v/>
      </c>
      <c r="K31" s="772"/>
    </row>
    <row r="32" spans="1:11" ht="12.75" customHeight="1">
      <c r="A32" s="40" t="s">
        <v>622</v>
      </c>
      <c r="B32" s="170"/>
      <c r="C32" s="767"/>
      <c r="D32" s="772"/>
      <c r="E32" s="391"/>
      <c r="F32" s="391"/>
      <c r="G32" s="391"/>
      <c r="H32" s="391"/>
      <c r="I32" s="45">
        <f t="shared" si="1"/>
        <v>0</v>
      </c>
      <c r="J32" s="125" t="str">
        <f t="shared" si="2"/>
        <v/>
      </c>
      <c r="K32" s="772"/>
    </row>
    <row r="33" spans="1:11" ht="12.75" customHeight="1">
      <c r="A33" s="40" t="s">
        <v>697</v>
      </c>
      <c r="B33" s="170"/>
      <c r="C33" s="767"/>
      <c r="D33" s="772"/>
      <c r="E33" s="391"/>
      <c r="F33" s="391"/>
      <c r="G33" s="391"/>
      <c r="H33" s="391"/>
      <c r="I33" s="45">
        <f t="shared" si="1"/>
        <v>0</v>
      </c>
      <c r="J33" s="125" t="str">
        <f t="shared" si="2"/>
        <v/>
      </c>
      <c r="K33" s="772"/>
    </row>
    <row r="34" spans="1:11" ht="12.75" customHeight="1">
      <c r="A34" s="40" t="s">
        <v>621</v>
      </c>
      <c r="B34" s="170"/>
      <c r="C34" s="767"/>
      <c r="D34" s="772"/>
      <c r="E34" s="391"/>
      <c r="F34" s="391"/>
      <c r="G34" s="391"/>
      <c r="H34" s="391"/>
      <c r="I34" s="45">
        <f t="shared" si="1"/>
        <v>0</v>
      </c>
      <c r="J34" s="125" t="str">
        <f t="shared" si="2"/>
        <v/>
      </c>
      <c r="K34" s="772"/>
    </row>
    <row r="35" spans="1:11" ht="12.75" customHeight="1">
      <c r="A35" s="40" t="s">
        <v>619</v>
      </c>
      <c r="B35" s="170"/>
      <c r="C35" s="767"/>
      <c r="D35" s="772"/>
      <c r="E35" s="391"/>
      <c r="F35" s="391"/>
      <c r="G35" s="391"/>
      <c r="H35" s="391"/>
      <c r="I35" s="45">
        <f t="shared" si="1"/>
        <v>0</v>
      </c>
      <c r="J35" s="125" t="str">
        <f t="shared" si="2"/>
        <v/>
      </c>
      <c r="K35" s="772"/>
    </row>
    <row r="36" spans="1:11" ht="12.75" customHeight="1">
      <c r="A36" s="40" t="s">
        <v>620</v>
      </c>
      <c r="B36" s="170"/>
      <c r="C36" s="767"/>
      <c r="D36" s="772"/>
      <c r="E36" s="391"/>
      <c r="F36" s="391"/>
      <c r="G36" s="391"/>
      <c r="H36" s="391"/>
      <c r="I36" s="45">
        <f t="shared" si="1"/>
        <v>0</v>
      </c>
      <c r="J36" s="125" t="str">
        <f t="shared" si="2"/>
        <v/>
      </c>
      <c r="K36" s="772"/>
    </row>
    <row r="37" spans="1:11" ht="12.75" customHeight="1">
      <c r="A37" s="40" t="s">
        <v>741</v>
      </c>
      <c r="B37" s="170"/>
      <c r="C37" s="767"/>
      <c r="D37" s="772"/>
      <c r="E37" s="391"/>
      <c r="F37" s="391"/>
      <c r="G37" s="391"/>
      <c r="H37" s="391"/>
      <c r="I37" s="45">
        <f t="shared" si="1"/>
        <v>0</v>
      </c>
      <c r="J37" s="125" t="str">
        <f t="shared" si="2"/>
        <v/>
      </c>
      <c r="K37" s="772"/>
    </row>
    <row r="38" spans="1:11" ht="12.75" customHeight="1">
      <c r="A38" s="40" t="s">
        <v>954</v>
      </c>
      <c r="B38" s="170"/>
      <c r="C38" s="767"/>
      <c r="D38" s="772"/>
      <c r="E38" s="391"/>
      <c r="F38" s="391"/>
      <c r="G38" s="391"/>
      <c r="H38" s="391"/>
      <c r="I38" s="45">
        <f t="shared" si="1"/>
        <v>0</v>
      </c>
      <c r="J38" s="125" t="str">
        <f t="shared" si="2"/>
        <v/>
      </c>
      <c r="K38" s="772"/>
    </row>
    <row r="39" spans="1:11" ht="12.75" customHeight="1">
      <c r="A39" s="40" t="s">
        <v>955</v>
      </c>
      <c r="B39" s="170"/>
      <c r="C39" s="767"/>
      <c r="D39" s="772"/>
      <c r="E39" s="391"/>
      <c r="F39" s="391"/>
      <c r="G39" s="391"/>
      <c r="H39" s="391"/>
      <c r="I39" s="45">
        <f t="shared" si="1"/>
        <v>0</v>
      </c>
      <c r="J39" s="125" t="str">
        <f t="shared" si="2"/>
        <v/>
      </c>
      <c r="K39" s="772"/>
    </row>
    <row r="40" spans="1:11" ht="12.75" customHeight="1">
      <c r="A40" s="40" t="s">
        <v>615</v>
      </c>
      <c r="B40" s="170"/>
      <c r="C40" s="767"/>
      <c r="D40" s="772">
        <f>205763</f>
        <v>205763</v>
      </c>
      <c r="E40" s="391"/>
      <c r="F40" s="391"/>
      <c r="G40" s="391"/>
      <c r="H40" s="391">
        <v>205763</v>
      </c>
      <c r="I40" s="45">
        <f t="shared" si="1"/>
        <v>205763</v>
      </c>
      <c r="J40" s="125">
        <f t="shared" si="2"/>
        <v>1</v>
      </c>
      <c r="K40" s="772">
        <f>205763</f>
        <v>205763</v>
      </c>
    </row>
    <row r="41" spans="1:11" ht="12.75" customHeight="1">
      <c r="A41" s="525" t="s">
        <v>166</v>
      </c>
      <c r="B41" s="170"/>
      <c r="C41" s="767"/>
      <c r="D41" s="772"/>
      <c r="E41" s="391"/>
      <c r="F41" s="391"/>
      <c r="G41" s="391"/>
      <c r="H41" s="391"/>
      <c r="I41" s="45">
        <f t="shared" si="1"/>
        <v>0</v>
      </c>
      <c r="J41" s="125" t="str">
        <f t="shared" si="2"/>
        <v/>
      </c>
      <c r="K41" s="772"/>
    </row>
    <row r="42" spans="1:11" ht="12.75" customHeight="1">
      <c r="A42" s="40" t="s">
        <v>883</v>
      </c>
      <c r="B42" s="170"/>
      <c r="C42" s="767"/>
      <c r="D42" s="772">
        <f>420000</f>
        <v>420000</v>
      </c>
      <c r="E42" s="391"/>
      <c r="F42" s="391"/>
      <c r="G42" s="391"/>
      <c r="H42" s="391">
        <v>420000</v>
      </c>
      <c r="I42" s="45">
        <f t="shared" si="1"/>
        <v>420000</v>
      </c>
      <c r="J42" s="125">
        <f t="shared" si="2"/>
        <v>1</v>
      </c>
      <c r="K42" s="772">
        <f>420000</f>
        <v>420000</v>
      </c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804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32579175</v>
      </c>
      <c r="E50" s="591">
        <f t="shared" si="11"/>
        <v>0</v>
      </c>
      <c r="F50" s="591">
        <f t="shared" si="11"/>
        <v>1967465.5499999998</v>
      </c>
      <c r="G50" s="591">
        <f t="shared" si="11"/>
        <v>15553447.859999999</v>
      </c>
      <c r="H50" s="591">
        <f t="shared" si="11"/>
        <v>14568089</v>
      </c>
      <c r="I50" s="591">
        <f t="shared" si="1"/>
        <v>-985358.8599999994</v>
      </c>
      <c r="J50" s="592">
        <f t="shared" si="2"/>
        <v>-6.7638168602621757E-2</v>
      </c>
      <c r="K50" s="593">
        <f t="shared" si="11"/>
        <v>32579175</v>
      </c>
    </row>
    <row r="51" spans="1:11" ht="12.75" customHeight="1">
      <c r="A51" s="87" t="s">
        <v>649</v>
      </c>
      <c r="B51" s="170"/>
      <c r="C51" s="767"/>
      <c r="D51" s="772">
        <f>130000+9000000</f>
        <v>9130000</v>
      </c>
      <c r="E51" s="391"/>
      <c r="F51" s="391">
        <f>3085.8+243375.13</f>
        <v>246460.93</v>
      </c>
      <c r="G51" s="391">
        <f>196429.86+3500+134985.04+2800+67855.55+423083.63+238321.82+6183.4+515073.12+3085.8+243375.13</f>
        <v>1834693.35</v>
      </c>
      <c r="H51" s="391">
        <v>9130000</v>
      </c>
      <c r="I51" s="45">
        <f t="shared" si="1"/>
        <v>7295306.6500000004</v>
      </c>
      <c r="J51" s="125">
        <f t="shared" si="2"/>
        <v>0.79904782584885004</v>
      </c>
      <c r="K51" s="772">
        <f>130000+9000000</f>
        <v>9130000</v>
      </c>
    </row>
    <row r="52" spans="1:11" ht="12.75" customHeight="1">
      <c r="A52" s="524" t="s">
        <v>168</v>
      </c>
      <c r="B52" s="170"/>
      <c r="C52" s="904">
        <f t="shared" ref="C52:H52" si="12">C78</f>
        <v>0</v>
      </c>
      <c r="D52" s="903">
        <f t="shared" si="12"/>
        <v>0</v>
      </c>
      <c r="E52" s="902">
        <f t="shared" si="12"/>
        <v>0</v>
      </c>
      <c r="F52" s="902">
        <f t="shared" si="12"/>
        <v>0</v>
      </c>
      <c r="G52" s="902">
        <f t="shared" si="12"/>
        <v>0</v>
      </c>
      <c r="H52" s="902">
        <f t="shared" si="12"/>
        <v>0</v>
      </c>
      <c r="I52" s="259">
        <f t="shared" si="1"/>
        <v>0</v>
      </c>
      <c r="J52" s="125" t="str">
        <f t="shared" si="2"/>
        <v/>
      </c>
      <c r="K52" s="904">
        <f>K78</f>
        <v>0</v>
      </c>
    </row>
    <row r="53" spans="1:11" ht="12.75" customHeight="1">
      <c r="A53" s="87" t="s">
        <v>550</v>
      </c>
      <c r="B53" s="170"/>
      <c r="C53" s="767"/>
      <c r="D53" s="772">
        <f>591500+18011086</f>
        <v>18602586</v>
      </c>
      <c r="E53" s="391"/>
      <c r="F53" s="391">
        <f>840.48+1622657</f>
        <v>1623497.48</v>
      </c>
      <c r="G53" s="391">
        <f>1363.39+1559496+2600+1554907+4137.44+1825991+455.89+1537929+27823.8+2698233+1952464+840.48+1622657</f>
        <v>12788898</v>
      </c>
      <c r="H53" s="391">
        <v>591500</v>
      </c>
      <c r="I53" s="45">
        <f t="shared" si="1"/>
        <v>-12197398</v>
      </c>
      <c r="J53" s="125">
        <f t="shared" si="2"/>
        <v>-20.621129332206255</v>
      </c>
      <c r="K53" s="772">
        <f>591500+18011086</f>
        <v>18602586</v>
      </c>
    </row>
    <row r="54" spans="1:11" ht="12.75" customHeight="1">
      <c r="A54" s="87" t="s">
        <v>650</v>
      </c>
      <c r="B54" s="170"/>
      <c r="C54" s="767"/>
      <c r="D54" s="772">
        <f>890500+1688000</f>
        <v>2578500</v>
      </c>
      <c r="E54" s="391"/>
      <c r="F54" s="391"/>
      <c r="G54" s="391">
        <f>1315.79</f>
        <v>1315.79</v>
      </c>
      <c r="H54" s="391">
        <v>2578500</v>
      </c>
      <c r="I54" s="45">
        <f t="shared" si="1"/>
        <v>2577184.21</v>
      </c>
      <c r="J54" s="125">
        <f t="shared" si="2"/>
        <v>0.99948970719410513</v>
      </c>
      <c r="K54" s="772">
        <f>890500+1688000</f>
        <v>2578500</v>
      </c>
    </row>
    <row r="55" spans="1:11" ht="12.75" customHeight="1">
      <c r="A55" s="87" t="s">
        <v>651</v>
      </c>
      <c r="B55" s="170"/>
      <c r="C55" s="767"/>
      <c r="D55" s="772">
        <f>242000</f>
        <v>242000</v>
      </c>
      <c r="E55" s="391"/>
      <c r="F55" s="391"/>
      <c r="G55" s="391"/>
      <c r="H55" s="391">
        <v>242000</v>
      </c>
      <c r="I55" s="45">
        <f t="shared" si="1"/>
        <v>242000</v>
      </c>
      <c r="J55" s="125">
        <f t="shared" si="2"/>
        <v>1</v>
      </c>
      <c r="K55" s="772">
        <f>242000</f>
        <v>242000</v>
      </c>
    </row>
    <row r="56" spans="1:11" ht="12.75" customHeight="1">
      <c r="A56" s="87" t="s">
        <v>551</v>
      </c>
      <c r="B56" s="170"/>
      <c r="C56" s="767"/>
      <c r="D56" s="772"/>
      <c r="E56" s="391"/>
      <c r="F56" s="391"/>
      <c r="G56" s="391"/>
      <c r="H56" s="391"/>
      <c r="I56" s="45">
        <f t="shared" si="1"/>
        <v>0</v>
      </c>
      <c r="J56" s="125" t="str">
        <f t="shared" si="2"/>
        <v/>
      </c>
      <c r="K56" s="772"/>
    </row>
    <row r="57" spans="1:11" ht="12.75" customHeight="1">
      <c r="A57" s="87" t="s">
        <v>552</v>
      </c>
      <c r="B57" s="170"/>
      <c r="C57" s="767"/>
      <c r="D57" s="772"/>
      <c r="E57" s="391"/>
      <c r="F57" s="391"/>
      <c r="G57" s="391"/>
      <c r="H57" s="391"/>
      <c r="I57" s="45">
        <f t="shared" si="1"/>
        <v>0</v>
      </c>
      <c r="J57" s="125" t="str">
        <f t="shared" si="2"/>
        <v/>
      </c>
      <c r="K57" s="772"/>
    </row>
    <row r="58" spans="1:11" ht="12.75" customHeight="1">
      <c r="A58" s="87" t="s">
        <v>740</v>
      </c>
      <c r="B58" s="170"/>
      <c r="C58" s="767"/>
      <c r="D58" s="772"/>
      <c r="E58" s="391"/>
      <c r="F58" s="391"/>
      <c r="G58" s="391"/>
      <c r="H58" s="391"/>
      <c r="I58" s="45">
        <f t="shared" si="1"/>
        <v>0</v>
      </c>
      <c r="J58" s="125" t="str">
        <f t="shared" si="2"/>
        <v/>
      </c>
      <c r="K58" s="772"/>
    </row>
    <row r="59" spans="1:11" ht="12.75" customHeight="1">
      <c r="A59" s="87" t="s">
        <v>694</v>
      </c>
      <c r="B59" s="170"/>
      <c r="C59" s="767"/>
      <c r="D59" s="772">
        <f>1670065</f>
        <v>1670065</v>
      </c>
      <c r="E59" s="391"/>
      <c r="F59" s="391">
        <f>97507.14</f>
        <v>97507.14</v>
      </c>
      <c r="G59" s="391">
        <f>196433.02+162920+471680.56+97507.14</f>
        <v>928540.72000000009</v>
      </c>
      <c r="H59" s="391">
        <v>1670065</v>
      </c>
      <c r="I59" s="45">
        <f t="shared" si="1"/>
        <v>741524.27999999991</v>
      </c>
      <c r="J59" s="125">
        <f t="shared" si="2"/>
        <v>0.44400923317355906</v>
      </c>
      <c r="K59" s="772">
        <f>1670065</f>
        <v>1670065</v>
      </c>
    </row>
    <row r="60" spans="1:11" ht="12.75" customHeight="1">
      <c r="A60" s="87" t="s">
        <v>693</v>
      </c>
      <c r="B60" s="170"/>
      <c r="C60" s="767"/>
      <c r="D60" s="772"/>
      <c r="E60" s="391"/>
      <c r="F60" s="391"/>
      <c r="G60" s="391"/>
      <c r="H60" s="391"/>
      <c r="I60" s="45">
        <f t="shared" si="1"/>
        <v>0</v>
      </c>
      <c r="J60" s="125" t="str">
        <f t="shared" si="2"/>
        <v/>
      </c>
      <c r="K60" s="772"/>
    </row>
    <row r="61" spans="1:11" ht="12.75" customHeight="1">
      <c r="A61" s="87" t="s">
        <v>652</v>
      </c>
      <c r="B61" s="170"/>
      <c r="C61" s="767"/>
      <c r="D61" s="772"/>
      <c r="E61" s="391"/>
      <c r="F61" s="391"/>
      <c r="G61" s="391"/>
      <c r="H61" s="391"/>
      <c r="I61" s="45">
        <f t="shared" si="1"/>
        <v>0</v>
      </c>
      <c r="J61" s="125" t="str">
        <f t="shared" si="2"/>
        <v/>
      </c>
      <c r="K61" s="772"/>
    </row>
    <row r="62" spans="1:11" ht="12.75" customHeight="1">
      <c r="A62" s="40" t="s">
        <v>883</v>
      </c>
      <c r="B62" s="170"/>
      <c r="C62" s="767"/>
      <c r="D62" s="772">
        <f>100000+256024</f>
        <v>356024</v>
      </c>
      <c r="E62" s="391"/>
      <c r="F62" s="391"/>
      <c r="G62" s="391"/>
      <c r="H62" s="391">
        <v>356024</v>
      </c>
      <c r="I62" s="45">
        <f t="shared" si="1"/>
        <v>356024</v>
      </c>
      <c r="J62" s="125">
        <f t="shared" si="2"/>
        <v>1</v>
      </c>
      <c r="K62" s="772">
        <f>100000+256024</f>
        <v>356024</v>
      </c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1067</v>
      </c>
      <c r="B76" s="237"/>
      <c r="C76" s="113">
        <f t="shared" ref="C76:H76" si="16">C7+C28+C43+C47+C50+C64+C68+C72</f>
        <v>0</v>
      </c>
      <c r="D76" s="272">
        <f t="shared" si="16"/>
        <v>93507567</v>
      </c>
      <c r="E76" s="56">
        <f t="shared" si="16"/>
        <v>0</v>
      </c>
      <c r="F76" s="56">
        <f t="shared" si="16"/>
        <v>3755501.6799999997</v>
      </c>
      <c r="G76" s="56">
        <f t="shared" si="16"/>
        <v>45446061.43</v>
      </c>
      <c r="H76" s="56">
        <f t="shared" si="16"/>
        <v>75496481</v>
      </c>
      <c r="I76" s="56">
        <f>H76-G76</f>
        <v>30050419.57</v>
      </c>
      <c r="J76" s="294">
        <f>IF(I76=0,"",I76/H76)</f>
        <v>0.3980373544827871</v>
      </c>
      <c r="K76" s="236">
        <f>K7+K28+K43+K47+K50+K64+K68+K72</f>
        <v>93507567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21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21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21"/>
    </row>
    <row r="88" spans="1:11" ht="11.25" customHeight="1">
      <c r="A88" s="721"/>
    </row>
    <row r="89" spans="1:11" ht="11.25" customHeight="1">
      <c r="A89" s="721"/>
    </row>
    <row r="90" spans="1:11" ht="11.25" customHeight="1">
      <c r="A90" s="905"/>
    </row>
    <row r="91" spans="1:11" ht="11.25" customHeight="1">
      <c r="A91" s="905"/>
    </row>
    <row r="92" spans="1:11" ht="11.25" customHeight="1">
      <c r="A92" s="905"/>
    </row>
    <row r="93" spans="1:11" ht="11.25" customHeight="1">
      <c r="A93" s="905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8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3" sqref="L23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998" t="str">
        <f>muni&amp; " - "&amp;S71Sd&amp; " - "&amp;Head57</f>
        <v>FS194 Maluti-a-Phofung - Supporting Table SC13d Consolidated Monthly Budget Statement - depreciation by asset class - M07 January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>
      <c r="A2" s="983" t="str">
        <f>desc</f>
        <v>Description</v>
      </c>
      <c r="B2" s="976" t="str">
        <f>head27</f>
        <v>Ref</v>
      </c>
      <c r="C2" s="140" t="str">
        <f>Head1</f>
        <v>2012/13</v>
      </c>
      <c r="D2" s="246" t="str">
        <f>Head2</f>
        <v>Budget Year 2013/14</v>
      </c>
      <c r="E2" s="230"/>
      <c r="F2" s="230"/>
      <c r="G2" s="230"/>
      <c r="H2" s="230"/>
      <c r="I2" s="230"/>
      <c r="J2" s="230"/>
      <c r="K2" s="231"/>
    </row>
    <row r="3" spans="1:11" ht="25.5">
      <c r="A3" s="984"/>
      <c r="B3" s="98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5" t="s">
        <v>821</v>
      </c>
      <c r="B4" s="249">
        <v>1</v>
      </c>
      <c r="C4" s="296"/>
      <c r="D4" s="302"/>
      <c r="E4" s="298"/>
      <c r="F4" s="299"/>
      <c r="G4" s="299"/>
      <c r="H4" s="299"/>
      <c r="I4" s="299"/>
      <c r="J4" s="300" t="s">
        <v>723</v>
      </c>
      <c r="K4" s="301"/>
    </row>
    <row r="5" spans="1:11" ht="12.75" customHeight="1">
      <c r="A5" s="720" t="s">
        <v>1066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797</v>
      </c>
      <c r="B7" s="170"/>
      <c r="C7" s="615">
        <f t="shared" ref="C7:H7" si="0">C8+C11+C15+C19+C22</f>
        <v>0</v>
      </c>
      <c r="D7" s="616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92" t="str">
        <f t="shared" ref="J7:J66" si="2">IF(I7=0,"",I7/H7)</f>
        <v/>
      </c>
      <c r="K7" s="617">
        <f>K8+K11+K15+K19+K22</f>
        <v>0</v>
      </c>
    </row>
    <row r="8" spans="1:11" ht="12.75" customHeight="1">
      <c r="A8" s="525" t="s">
        <v>153</v>
      </c>
      <c r="B8" s="170"/>
      <c r="C8" s="691">
        <f t="shared" ref="C8:H8" si="3">SUM(C9:C10)</f>
        <v>0</v>
      </c>
      <c r="D8" s="623">
        <f t="shared" si="3"/>
        <v>0</v>
      </c>
      <c r="E8" s="622">
        <f t="shared" si="3"/>
        <v>0</v>
      </c>
      <c r="F8" s="622">
        <f t="shared" si="3"/>
        <v>0</v>
      </c>
      <c r="G8" s="622">
        <f t="shared" si="3"/>
        <v>0</v>
      </c>
      <c r="H8" s="622">
        <f t="shared" si="3"/>
        <v>0</v>
      </c>
      <c r="I8" s="259">
        <f t="shared" si="1"/>
        <v>0</v>
      </c>
      <c r="J8" s="588" t="str">
        <f t="shared" si="2"/>
        <v/>
      </c>
      <c r="K8" s="624">
        <f>SUM(K9:K10)</f>
        <v>0</v>
      </c>
    </row>
    <row r="9" spans="1:11" ht="12.75" customHeight="1">
      <c r="A9" s="587" t="s">
        <v>154</v>
      </c>
      <c r="B9" s="170"/>
      <c r="C9" s="767"/>
      <c r="D9" s="764"/>
      <c r="E9" s="752"/>
      <c r="F9" s="752"/>
      <c r="G9" s="752"/>
      <c r="H9" s="752"/>
      <c r="I9" s="259">
        <f t="shared" si="1"/>
        <v>0</v>
      </c>
      <c r="J9" s="588" t="str">
        <f t="shared" si="2"/>
        <v/>
      </c>
      <c r="K9" s="754"/>
    </row>
    <row r="10" spans="1:11" ht="12.75" customHeight="1">
      <c r="A10" s="587" t="s">
        <v>155</v>
      </c>
      <c r="B10" s="170"/>
      <c r="C10" s="767"/>
      <c r="D10" s="764"/>
      <c r="E10" s="752"/>
      <c r="F10" s="752"/>
      <c r="G10" s="752"/>
      <c r="H10" s="752"/>
      <c r="I10" s="259">
        <f t="shared" si="1"/>
        <v>0</v>
      </c>
      <c r="J10" s="588" t="str">
        <f t="shared" si="2"/>
        <v/>
      </c>
      <c r="K10" s="754"/>
    </row>
    <row r="11" spans="1:11" ht="12.75" customHeight="1">
      <c r="A11" s="525" t="s">
        <v>156</v>
      </c>
      <c r="B11" s="170"/>
      <c r="C11" s="662">
        <f t="shared" ref="C11:H11" si="4">SUM(C12:C14)</f>
        <v>0</v>
      </c>
      <c r="D11" s="663">
        <f t="shared" si="4"/>
        <v>0</v>
      </c>
      <c r="E11" s="415">
        <f t="shared" si="4"/>
        <v>0</v>
      </c>
      <c r="F11" s="415">
        <f t="shared" si="4"/>
        <v>0</v>
      </c>
      <c r="G11" s="415">
        <f t="shared" si="4"/>
        <v>0</v>
      </c>
      <c r="H11" s="415">
        <f t="shared" si="4"/>
        <v>0</v>
      </c>
      <c r="I11" s="259">
        <f t="shared" si="1"/>
        <v>0</v>
      </c>
      <c r="J11" s="588" t="str">
        <f t="shared" si="2"/>
        <v/>
      </c>
      <c r="K11" s="656">
        <f>SUM(K12:K14)</f>
        <v>0</v>
      </c>
    </row>
    <row r="12" spans="1:11" ht="12.75" customHeight="1">
      <c r="A12" s="587" t="s">
        <v>157</v>
      </c>
      <c r="B12" s="170"/>
      <c r="C12" s="767"/>
      <c r="D12" s="764"/>
      <c r="E12" s="752"/>
      <c r="F12" s="752"/>
      <c r="G12" s="752"/>
      <c r="H12" s="752"/>
      <c r="I12" s="259">
        <f t="shared" si="1"/>
        <v>0</v>
      </c>
      <c r="J12" s="588" t="str">
        <f t="shared" si="2"/>
        <v/>
      </c>
      <c r="K12" s="754"/>
    </row>
    <row r="13" spans="1:11" ht="12.75" customHeight="1">
      <c r="A13" s="587" t="s">
        <v>158</v>
      </c>
      <c r="B13" s="170"/>
      <c r="C13" s="767"/>
      <c r="D13" s="764"/>
      <c r="E13" s="752"/>
      <c r="F13" s="752"/>
      <c r="G13" s="752"/>
      <c r="H13" s="752"/>
      <c r="I13" s="259">
        <f t="shared" si="1"/>
        <v>0</v>
      </c>
      <c r="J13" s="588" t="str">
        <f t="shared" si="2"/>
        <v/>
      </c>
      <c r="K13" s="754"/>
    </row>
    <row r="14" spans="1:11" ht="12.75" customHeight="1">
      <c r="A14" s="587" t="s">
        <v>605</v>
      </c>
      <c r="B14" s="170"/>
      <c r="C14" s="767"/>
      <c r="D14" s="764"/>
      <c r="E14" s="752"/>
      <c r="F14" s="752"/>
      <c r="G14" s="752"/>
      <c r="H14" s="752"/>
      <c r="I14" s="259">
        <f t="shared" si="1"/>
        <v>0</v>
      </c>
      <c r="J14" s="588" t="str">
        <f t="shared" si="2"/>
        <v/>
      </c>
      <c r="K14" s="754"/>
    </row>
    <row r="15" spans="1:11" ht="12.75" customHeight="1">
      <c r="A15" s="524" t="s">
        <v>159</v>
      </c>
      <c r="B15" s="170"/>
      <c r="C15" s="662">
        <f t="shared" ref="C15:H15" si="5">SUM(C16:C18)</f>
        <v>0</v>
      </c>
      <c r="D15" s="663">
        <f t="shared" si="5"/>
        <v>0</v>
      </c>
      <c r="E15" s="415">
        <f t="shared" si="5"/>
        <v>0</v>
      </c>
      <c r="F15" s="415">
        <f t="shared" si="5"/>
        <v>0</v>
      </c>
      <c r="G15" s="415">
        <f t="shared" si="5"/>
        <v>0</v>
      </c>
      <c r="H15" s="415">
        <f t="shared" si="5"/>
        <v>0</v>
      </c>
      <c r="I15" s="259">
        <f t="shared" si="1"/>
        <v>0</v>
      </c>
      <c r="J15" s="588" t="str">
        <f t="shared" si="2"/>
        <v/>
      </c>
      <c r="K15" s="656">
        <f>SUM(K16:K18)</f>
        <v>0</v>
      </c>
    </row>
    <row r="16" spans="1:11" ht="12.75" customHeight="1">
      <c r="A16" s="587" t="s">
        <v>160</v>
      </c>
      <c r="B16" s="170"/>
      <c r="C16" s="767"/>
      <c r="D16" s="764"/>
      <c r="E16" s="752"/>
      <c r="F16" s="752"/>
      <c r="G16" s="752"/>
      <c r="H16" s="752"/>
      <c r="I16" s="259">
        <f t="shared" si="1"/>
        <v>0</v>
      </c>
      <c r="J16" s="588" t="str">
        <f t="shared" si="2"/>
        <v/>
      </c>
      <c r="K16" s="754"/>
    </row>
    <row r="17" spans="1:11" ht="12.75" customHeight="1">
      <c r="A17" s="587" t="s">
        <v>161</v>
      </c>
      <c r="B17" s="170"/>
      <c r="C17" s="767"/>
      <c r="D17" s="764"/>
      <c r="E17" s="752"/>
      <c r="F17" s="752"/>
      <c r="G17" s="752"/>
      <c r="H17" s="752"/>
      <c r="I17" s="259">
        <f t="shared" si="1"/>
        <v>0</v>
      </c>
      <c r="J17" s="588" t="str">
        <f t="shared" si="2"/>
        <v/>
      </c>
      <c r="K17" s="754"/>
    </row>
    <row r="18" spans="1:11" ht="12.75" customHeight="1">
      <c r="A18" s="587" t="s">
        <v>162</v>
      </c>
      <c r="B18" s="170"/>
      <c r="C18" s="767"/>
      <c r="D18" s="764"/>
      <c r="E18" s="752"/>
      <c r="F18" s="752"/>
      <c r="G18" s="752"/>
      <c r="H18" s="752"/>
      <c r="I18" s="259">
        <f t="shared" si="1"/>
        <v>0</v>
      </c>
      <c r="J18" s="588" t="str">
        <f t="shared" si="2"/>
        <v/>
      </c>
      <c r="K18" s="754"/>
    </row>
    <row r="19" spans="1:11" ht="12.75" customHeight="1">
      <c r="A19" s="524" t="s">
        <v>163</v>
      </c>
      <c r="B19" s="170"/>
      <c r="C19" s="662">
        <f t="shared" ref="C19:H19" si="6">SUM(C20:C21)</f>
        <v>0</v>
      </c>
      <c r="D19" s="663">
        <f t="shared" si="6"/>
        <v>0</v>
      </c>
      <c r="E19" s="415">
        <f t="shared" si="6"/>
        <v>0</v>
      </c>
      <c r="F19" s="415">
        <f t="shared" si="6"/>
        <v>0</v>
      </c>
      <c r="G19" s="415">
        <f t="shared" si="6"/>
        <v>0</v>
      </c>
      <c r="H19" s="415">
        <f t="shared" si="6"/>
        <v>0</v>
      </c>
      <c r="I19" s="259">
        <f t="shared" si="1"/>
        <v>0</v>
      </c>
      <c r="J19" s="588" t="str">
        <f t="shared" si="2"/>
        <v/>
      </c>
      <c r="K19" s="656">
        <f>SUM(K20:K21)</f>
        <v>0</v>
      </c>
    </row>
    <row r="20" spans="1:11" ht="12.75" customHeight="1">
      <c r="A20" s="587" t="s">
        <v>162</v>
      </c>
      <c r="B20" s="170"/>
      <c r="C20" s="767"/>
      <c r="D20" s="764"/>
      <c r="E20" s="752"/>
      <c r="F20" s="752"/>
      <c r="G20" s="752"/>
      <c r="H20" s="752"/>
      <c r="I20" s="259">
        <f t="shared" si="1"/>
        <v>0</v>
      </c>
      <c r="J20" s="588" t="str">
        <f t="shared" si="2"/>
        <v/>
      </c>
      <c r="K20" s="754"/>
    </row>
    <row r="21" spans="1:11" ht="12.75" customHeight="1">
      <c r="A21" s="587" t="s">
        <v>164</v>
      </c>
      <c r="B21" s="170"/>
      <c r="C21" s="767"/>
      <c r="D21" s="764"/>
      <c r="E21" s="752"/>
      <c r="F21" s="752"/>
      <c r="G21" s="752"/>
      <c r="H21" s="752"/>
      <c r="I21" s="259">
        <f t="shared" si="1"/>
        <v>0</v>
      </c>
      <c r="J21" s="588" t="str">
        <f t="shared" si="2"/>
        <v/>
      </c>
      <c r="K21" s="754"/>
    </row>
    <row r="22" spans="1:11" ht="12.75" customHeight="1">
      <c r="A22" s="525" t="s">
        <v>165</v>
      </c>
      <c r="B22" s="170"/>
      <c r="C22" s="662">
        <f t="shared" ref="C22:H22" si="7">SUM(C23:C26)</f>
        <v>0</v>
      </c>
      <c r="D22" s="663">
        <f t="shared" si="7"/>
        <v>0</v>
      </c>
      <c r="E22" s="415">
        <f t="shared" si="7"/>
        <v>0</v>
      </c>
      <c r="F22" s="415">
        <f t="shared" si="7"/>
        <v>0</v>
      </c>
      <c r="G22" s="415">
        <f t="shared" si="7"/>
        <v>0</v>
      </c>
      <c r="H22" s="415">
        <f t="shared" si="7"/>
        <v>0</v>
      </c>
      <c r="I22" s="259">
        <f t="shared" si="1"/>
        <v>0</v>
      </c>
      <c r="J22" s="588" t="str">
        <f t="shared" si="2"/>
        <v/>
      </c>
      <c r="K22" s="656">
        <f>SUM(K23:K26)</f>
        <v>0</v>
      </c>
    </row>
    <row r="23" spans="1:11" ht="12.75" customHeight="1">
      <c r="A23" s="587" t="s">
        <v>945</v>
      </c>
      <c r="B23" s="170"/>
      <c r="C23" s="767"/>
      <c r="D23" s="764"/>
      <c r="E23" s="752"/>
      <c r="F23" s="752"/>
      <c r="G23" s="752"/>
      <c r="H23" s="752"/>
      <c r="I23" s="259">
        <f t="shared" si="1"/>
        <v>0</v>
      </c>
      <c r="J23" s="588" t="str">
        <f t="shared" si="2"/>
        <v/>
      </c>
      <c r="K23" s="754"/>
    </row>
    <row r="24" spans="1:11" ht="12.75" customHeight="1">
      <c r="A24" s="587" t="s">
        <v>692</v>
      </c>
      <c r="B24" s="170"/>
      <c r="C24" s="767"/>
      <c r="D24" s="764"/>
      <c r="E24" s="752"/>
      <c r="F24" s="752"/>
      <c r="G24" s="752"/>
      <c r="H24" s="752"/>
      <c r="I24" s="259">
        <f t="shared" si="1"/>
        <v>0</v>
      </c>
      <c r="J24" s="588" t="str">
        <f t="shared" si="2"/>
        <v/>
      </c>
      <c r="K24" s="754"/>
    </row>
    <row r="25" spans="1:11" ht="12.75" customHeight="1">
      <c r="A25" s="587" t="s">
        <v>606</v>
      </c>
      <c r="B25" s="170"/>
      <c r="C25" s="767"/>
      <c r="D25" s="764"/>
      <c r="E25" s="752"/>
      <c r="F25" s="752"/>
      <c r="G25" s="752"/>
      <c r="H25" s="752"/>
      <c r="I25" s="259">
        <f t="shared" si="1"/>
        <v>0</v>
      </c>
      <c r="J25" s="588" t="str">
        <f t="shared" si="2"/>
        <v/>
      </c>
      <c r="K25" s="754"/>
    </row>
    <row r="26" spans="1:11" ht="12.75" customHeight="1">
      <c r="A26" s="587" t="s">
        <v>883</v>
      </c>
      <c r="B26" s="170"/>
      <c r="C26" s="767"/>
      <c r="D26" s="764"/>
      <c r="E26" s="752"/>
      <c r="F26" s="752"/>
      <c r="G26" s="752"/>
      <c r="H26" s="752"/>
      <c r="I26" s="259">
        <f t="shared" si="1"/>
        <v>0</v>
      </c>
      <c r="J26" s="588" t="str">
        <f t="shared" si="2"/>
        <v/>
      </c>
      <c r="K26" s="754"/>
    </row>
    <row r="27" spans="1:11" ht="5.25" customHeight="1">
      <c r="A27" s="587"/>
      <c r="B27" s="170"/>
      <c r="C27" s="135"/>
      <c r="D27" s="47"/>
      <c r="E27" s="45"/>
      <c r="F27" s="45"/>
      <c r="G27" s="45"/>
      <c r="H27" s="45"/>
      <c r="I27" s="259"/>
      <c r="J27" s="588" t="str">
        <f t="shared" si="2"/>
        <v/>
      </c>
      <c r="K27" s="145"/>
    </row>
    <row r="28" spans="1:11" ht="12.75" customHeight="1">
      <c r="A28" s="36" t="s">
        <v>1089</v>
      </c>
      <c r="B28" s="170"/>
      <c r="C28" s="589">
        <f t="shared" ref="C28:H28" si="8">SUM(C29:C42)</f>
        <v>0</v>
      </c>
      <c r="D28" s="590">
        <f t="shared" si="8"/>
        <v>0</v>
      </c>
      <c r="E28" s="591">
        <f t="shared" si="8"/>
        <v>0</v>
      </c>
      <c r="F28" s="591">
        <f t="shared" si="8"/>
        <v>0</v>
      </c>
      <c r="G28" s="591">
        <f t="shared" si="8"/>
        <v>0</v>
      </c>
      <c r="H28" s="591">
        <f t="shared" si="8"/>
        <v>0</v>
      </c>
      <c r="I28" s="591">
        <f t="shared" si="1"/>
        <v>0</v>
      </c>
      <c r="J28" s="592" t="str">
        <f t="shared" si="2"/>
        <v/>
      </c>
      <c r="K28" s="593">
        <f>SUM(K29:K42)</f>
        <v>0</v>
      </c>
    </row>
    <row r="29" spans="1:11" ht="12.75" customHeight="1">
      <c r="A29" s="40" t="s">
        <v>623</v>
      </c>
      <c r="B29" s="170"/>
      <c r="C29" s="767"/>
      <c r="D29" s="772"/>
      <c r="E29" s="752"/>
      <c r="F29" s="752"/>
      <c r="G29" s="752"/>
      <c r="H29" s="752"/>
      <c r="I29" s="45">
        <f t="shared" si="1"/>
        <v>0</v>
      </c>
      <c r="J29" s="125" t="str">
        <f t="shared" si="2"/>
        <v/>
      </c>
      <c r="K29" s="754"/>
    </row>
    <row r="30" spans="1:11" ht="12.75" customHeight="1">
      <c r="A30" s="40" t="s">
        <v>618</v>
      </c>
      <c r="B30" s="170"/>
      <c r="C30" s="767"/>
      <c r="D30" s="772"/>
      <c r="E30" s="752"/>
      <c r="F30" s="752"/>
      <c r="G30" s="752"/>
      <c r="H30" s="752"/>
      <c r="I30" s="45">
        <f t="shared" si="1"/>
        <v>0</v>
      </c>
      <c r="J30" s="125" t="str">
        <f t="shared" si="2"/>
        <v/>
      </c>
      <c r="K30" s="754"/>
    </row>
    <row r="31" spans="1:11" ht="12.75" customHeight="1">
      <c r="A31" s="40" t="s">
        <v>617</v>
      </c>
      <c r="B31" s="170"/>
      <c r="C31" s="767"/>
      <c r="D31" s="772"/>
      <c r="E31" s="752"/>
      <c r="F31" s="752"/>
      <c r="G31" s="752"/>
      <c r="H31" s="752"/>
      <c r="I31" s="45">
        <f t="shared" si="1"/>
        <v>0</v>
      </c>
      <c r="J31" s="125" t="str">
        <f t="shared" si="2"/>
        <v/>
      </c>
      <c r="K31" s="754"/>
    </row>
    <row r="32" spans="1:11" ht="12.75" customHeight="1">
      <c r="A32" s="40" t="s">
        <v>622</v>
      </c>
      <c r="B32" s="170"/>
      <c r="C32" s="767"/>
      <c r="D32" s="772"/>
      <c r="E32" s="752"/>
      <c r="F32" s="752"/>
      <c r="G32" s="752"/>
      <c r="H32" s="752"/>
      <c r="I32" s="45">
        <f t="shared" si="1"/>
        <v>0</v>
      </c>
      <c r="J32" s="125" t="str">
        <f t="shared" si="2"/>
        <v/>
      </c>
      <c r="K32" s="754"/>
    </row>
    <row r="33" spans="1:11" ht="12.75" customHeight="1">
      <c r="A33" s="40" t="s">
        <v>697</v>
      </c>
      <c r="B33" s="170"/>
      <c r="C33" s="767"/>
      <c r="D33" s="772"/>
      <c r="E33" s="752"/>
      <c r="F33" s="752"/>
      <c r="G33" s="752"/>
      <c r="H33" s="752"/>
      <c r="I33" s="45">
        <f t="shared" si="1"/>
        <v>0</v>
      </c>
      <c r="J33" s="125" t="str">
        <f t="shared" si="2"/>
        <v/>
      </c>
      <c r="K33" s="754"/>
    </row>
    <row r="34" spans="1:11" ht="12.75" customHeight="1">
      <c r="A34" s="40" t="s">
        <v>621</v>
      </c>
      <c r="B34" s="170"/>
      <c r="C34" s="767"/>
      <c r="D34" s="772"/>
      <c r="E34" s="752"/>
      <c r="F34" s="752"/>
      <c r="G34" s="752"/>
      <c r="H34" s="752"/>
      <c r="I34" s="45">
        <f t="shared" si="1"/>
        <v>0</v>
      </c>
      <c r="J34" s="125" t="str">
        <f t="shared" si="2"/>
        <v/>
      </c>
      <c r="K34" s="754"/>
    </row>
    <row r="35" spans="1:11" ht="12.75" customHeight="1">
      <c r="A35" s="40" t="s">
        <v>619</v>
      </c>
      <c r="B35" s="170"/>
      <c r="C35" s="767"/>
      <c r="D35" s="772"/>
      <c r="E35" s="752"/>
      <c r="F35" s="752"/>
      <c r="G35" s="752"/>
      <c r="H35" s="752"/>
      <c r="I35" s="45">
        <f t="shared" si="1"/>
        <v>0</v>
      </c>
      <c r="J35" s="125" t="str">
        <f t="shared" si="2"/>
        <v/>
      </c>
      <c r="K35" s="754"/>
    </row>
    <row r="36" spans="1:11" ht="12.75" customHeight="1">
      <c r="A36" s="40" t="s">
        <v>620</v>
      </c>
      <c r="B36" s="170"/>
      <c r="C36" s="767"/>
      <c r="D36" s="772"/>
      <c r="E36" s="752"/>
      <c r="F36" s="752"/>
      <c r="G36" s="752"/>
      <c r="H36" s="752"/>
      <c r="I36" s="45">
        <f t="shared" si="1"/>
        <v>0</v>
      </c>
      <c r="J36" s="125" t="str">
        <f t="shared" si="2"/>
        <v/>
      </c>
      <c r="K36" s="754"/>
    </row>
    <row r="37" spans="1:11" ht="12.75" customHeight="1">
      <c r="A37" s="40" t="s">
        <v>741</v>
      </c>
      <c r="B37" s="170"/>
      <c r="C37" s="767"/>
      <c r="D37" s="772"/>
      <c r="E37" s="752"/>
      <c r="F37" s="752"/>
      <c r="G37" s="752"/>
      <c r="H37" s="752"/>
      <c r="I37" s="45">
        <f t="shared" si="1"/>
        <v>0</v>
      </c>
      <c r="J37" s="125" t="str">
        <f t="shared" si="2"/>
        <v/>
      </c>
      <c r="K37" s="754"/>
    </row>
    <row r="38" spans="1:11" ht="12.75" customHeight="1">
      <c r="A38" s="40" t="s">
        <v>954</v>
      </c>
      <c r="B38" s="170"/>
      <c r="C38" s="767"/>
      <c r="D38" s="772"/>
      <c r="E38" s="752"/>
      <c r="F38" s="752"/>
      <c r="G38" s="752"/>
      <c r="H38" s="752"/>
      <c r="I38" s="45">
        <f t="shared" si="1"/>
        <v>0</v>
      </c>
      <c r="J38" s="125" t="str">
        <f t="shared" si="2"/>
        <v/>
      </c>
      <c r="K38" s="754"/>
    </row>
    <row r="39" spans="1:11" ht="12.75" customHeight="1">
      <c r="A39" s="40" t="s">
        <v>955</v>
      </c>
      <c r="B39" s="170"/>
      <c r="C39" s="767"/>
      <c r="D39" s="772"/>
      <c r="E39" s="752"/>
      <c r="F39" s="752"/>
      <c r="G39" s="752"/>
      <c r="H39" s="752"/>
      <c r="I39" s="45">
        <f t="shared" si="1"/>
        <v>0</v>
      </c>
      <c r="J39" s="125" t="str">
        <f t="shared" si="2"/>
        <v/>
      </c>
      <c r="K39" s="754"/>
    </row>
    <row r="40" spans="1:11" ht="12.75" customHeight="1">
      <c r="A40" s="40" t="s">
        <v>615</v>
      </c>
      <c r="B40" s="170"/>
      <c r="C40" s="767"/>
      <c r="D40" s="772"/>
      <c r="E40" s="752"/>
      <c r="F40" s="752"/>
      <c r="G40" s="752"/>
      <c r="H40" s="752"/>
      <c r="I40" s="45">
        <f t="shared" si="1"/>
        <v>0</v>
      </c>
      <c r="J40" s="125" t="str">
        <f t="shared" si="2"/>
        <v/>
      </c>
      <c r="K40" s="754"/>
    </row>
    <row r="41" spans="1:11" ht="12.75" customHeight="1">
      <c r="A41" s="525" t="s">
        <v>166</v>
      </c>
      <c r="B41" s="170"/>
      <c r="C41" s="767"/>
      <c r="D41" s="772"/>
      <c r="E41" s="752"/>
      <c r="F41" s="752"/>
      <c r="G41" s="752"/>
      <c r="H41" s="752"/>
      <c r="I41" s="45">
        <f t="shared" si="1"/>
        <v>0</v>
      </c>
      <c r="J41" s="125" t="str">
        <f t="shared" si="2"/>
        <v/>
      </c>
      <c r="K41" s="754"/>
    </row>
    <row r="42" spans="1:11" ht="12.75" customHeight="1">
      <c r="A42" s="40" t="s">
        <v>883</v>
      </c>
      <c r="B42" s="170"/>
      <c r="C42" s="767"/>
      <c r="D42" s="772"/>
      <c r="E42" s="752"/>
      <c r="F42" s="752"/>
      <c r="G42" s="752"/>
      <c r="H42" s="752"/>
      <c r="I42" s="45">
        <f t="shared" si="1"/>
        <v>0</v>
      </c>
      <c r="J42" s="125" t="str">
        <f t="shared" si="2"/>
        <v/>
      </c>
      <c r="K42" s="754"/>
    </row>
    <row r="43" spans="1:11" ht="12.75" customHeight="1">
      <c r="A43" s="36" t="s">
        <v>824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8" t="str">
        <f t="shared" si="2"/>
        <v/>
      </c>
      <c r="K43" s="196">
        <f>SUM(K44:K45)</f>
        <v>0</v>
      </c>
    </row>
    <row r="44" spans="1:11" ht="12.75" customHeight="1">
      <c r="A44" s="525" t="s">
        <v>167</v>
      </c>
      <c r="B44" s="170"/>
      <c r="C44" s="796"/>
      <c r="D44" s="772"/>
      <c r="E44" s="752"/>
      <c r="F44" s="752"/>
      <c r="G44" s="752"/>
      <c r="H44" s="752"/>
      <c r="I44" s="45">
        <f t="shared" si="1"/>
        <v>0</v>
      </c>
      <c r="J44" s="125" t="str">
        <f t="shared" si="2"/>
        <v/>
      </c>
      <c r="K44" s="754"/>
    </row>
    <row r="45" spans="1:11" ht="12.75" customHeight="1">
      <c r="A45" s="524" t="s">
        <v>883</v>
      </c>
      <c r="B45" s="170"/>
      <c r="C45" s="804"/>
      <c r="D45" s="772"/>
      <c r="E45" s="752"/>
      <c r="F45" s="752"/>
      <c r="G45" s="752"/>
      <c r="H45" s="752"/>
      <c r="I45" s="45">
        <f t="shared" si="1"/>
        <v>0</v>
      </c>
      <c r="J45" s="125" t="str">
        <f t="shared" si="2"/>
        <v/>
      </c>
      <c r="K45" s="754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825</v>
      </c>
      <c r="B47" s="39"/>
      <c r="C47" s="589">
        <f t="shared" ref="C47:H47" si="10">SUM(C48:C49)</f>
        <v>0</v>
      </c>
      <c r="D47" s="590">
        <f t="shared" si="10"/>
        <v>0</v>
      </c>
      <c r="E47" s="591">
        <f t="shared" si="10"/>
        <v>0</v>
      </c>
      <c r="F47" s="591">
        <f t="shared" si="10"/>
        <v>0</v>
      </c>
      <c r="G47" s="591">
        <f t="shared" si="10"/>
        <v>0</v>
      </c>
      <c r="H47" s="591">
        <f t="shared" si="10"/>
        <v>0</v>
      </c>
      <c r="I47" s="100">
        <f t="shared" si="1"/>
        <v>0</v>
      </c>
      <c r="J47" s="328" t="str">
        <f t="shared" si="2"/>
        <v/>
      </c>
      <c r="K47" s="593">
        <f>SUM(K48:K49)</f>
        <v>0</v>
      </c>
    </row>
    <row r="48" spans="1:11" ht="12.75" customHeight="1">
      <c r="A48" s="40" t="s">
        <v>616</v>
      </c>
      <c r="B48" s="170"/>
      <c r="C48" s="767"/>
      <c r="D48" s="772"/>
      <c r="E48" s="752"/>
      <c r="F48" s="752"/>
      <c r="G48" s="752"/>
      <c r="H48" s="752"/>
      <c r="I48" s="45">
        <f t="shared" si="1"/>
        <v>0</v>
      </c>
      <c r="J48" s="125" t="str">
        <f t="shared" si="2"/>
        <v/>
      </c>
      <c r="K48" s="754"/>
    </row>
    <row r="49" spans="1:11" ht="12.75" customHeight="1">
      <c r="A49" s="40" t="s">
        <v>883</v>
      </c>
      <c r="B49" s="170"/>
      <c r="C49" s="767"/>
      <c r="D49" s="772"/>
      <c r="E49" s="752"/>
      <c r="F49" s="752"/>
      <c r="G49" s="752"/>
      <c r="H49" s="752"/>
      <c r="I49" s="45">
        <f t="shared" si="1"/>
        <v>0</v>
      </c>
      <c r="J49" s="125" t="str">
        <f t="shared" si="2"/>
        <v/>
      </c>
      <c r="K49" s="754"/>
    </row>
    <row r="50" spans="1:11" ht="12.75" customHeight="1">
      <c r="A50" s="36" t="s">
        <v>826</v>
      </c>
      <c r="B50" s="170"/>
      <c r="C50" s="589">
        <f t="shared" ref="C50:K50" si="11">SUM(C51:C62)</f>
        <v>0</v>
      </c>
      <c r="D50" s="590">
        <f t="shared" si="11"/>
        <v>0</v>
      </c>
      <c r="E50" s="591">
        <f t="shared" si="11"/>
        <v>0</v>
      </c>
      <c r="F50" s="591">
        <f t="shared" si="11"/>
        <v>0</v>
      </c>
      <c r="G50" s="591">
        <f t="shared" si="11"/>
        <v>0</v>
      </c>
      <c r="H50" s="591">
        <f t="shared" si="11"/>
        <v>0</v>
      </c>
      <c r="I50" s="591">
        <f t="shared" si="1"/>
        <v>0</v>
      </c>
      <c r="J50" s="592" t="str">
        <f t="shared" si="2"/>
        <v/>
      </c>
      <c r="K50" s="593">
        <f t="shared" si="11"/>
        <v>0</v>
      </c>
    </row>
    <row r="51" spans="1:11" ht="12.75" customHeight="1">
      <c r="A51" s="87" t="s">
        <v>649</v>
      </c>
      <c r="B51" s="170"/>
      <c r="C51" s="767"/>
      <c r="D51" s="772"/>
      <c r="E51" s="752"/>
      <c r="F51" s="752"/>
      <c r="G51" s="752"/>
      <c r="H51" s="752"/>
      <c r="I51" s="45">
        <f t="shared" si="1"/>
        <v>0</v>
      </c>
      <c r="J51" s="125" t="str">
        <f t="shared" si="2"/>
        <v/>
      </c>
      <c r="K51" s="754"/>
    </row>
    <row r="52" spans="1:11" ht="12.75" customHeight="1">
      <c r="A52" s="524" t="s">
        <v>168</v>
      </c>
      <c r="B52" s="170"/>
      <c r="C52" s="904">
        <f t="shared" ref="C52:H52" si="12">C78</f>
        <v>0</v>
      </c>
      <c r="D52" s="903">
        <f t="shared" si="12"/>
        <v>0</v>
      </c>
      <c r="E52" s="902">
        <f t="shared" si="12"/>
        <v>0</v>
      </c>
      <c r="F52" s="902">
        <f t="shared" si="12"/>
        <v>0</v>
      </c>
      <c r="G52" s="902">
        <f t="shared" si="12"/>
        <v>0</v>
      </c>
      <c r="H52" s="902">
        <f t="shared" si="12"/>
        <v>0</v>
      </c>
      <c r="I52" s="259">
        <f t="shared" si="1"/>
        <v>0</v>
      </c>
      <c r="J52" s="125" t="str">
        <f t="shared" si="2"/>
        <v/>
      </c>
      <c r="K52" s="904">
        <f>K78</f>
        <v>0</v>
      </c>
    </row>
    <row r="53" spans="1:11" ht="12.75" customHeight="1">
      <c r="A53" s="87" t="s">
        <v>550</v>
      </c>
      <c r="B53" s="170"/>
      <c r="C53" s="767"/>
      <c r="D53" s="772"/>
      <c r="E53" s="752"/>
      <c r="F53" s="752"/>
      <c r="G53" s="752"/>
      <c r="H53" s="752"/>
      <c r="I53" s="45">
        <f t="shared" si="1"/>
        <v>0</v>
      </c>
      <c r="J53" s="125" t="str">
        <f t="shared" si="2"/>
        <v/>
      </c>
      <c r="K53" s="754"/>
    </row>
    <row r="54" spans="1:11" ht="12.75" customHeight="1">
      <c r="A54" s="87" t="s">
        <v>650</v>
      </c>
      <c r="B54" s="170"/>
      <c r="C54" s="767"/>
      <c r="D54" s="772"/>
      <c r="E54" s="752"/>
      <c r="F54" s="752"/>
      <c r="G54" s="752"/>
      <c r="H54" s="752"/>
      <c r="I54" s="45">
        <f t="shared" si="1"/>
        <v>0</v>
      </c>
      <c r="J54" s="125" t="str">
        <f t="shared" si="2"/>
        <v/>
      </c>
      <c r="K54" s="754"/>
    </row>
    <row r="55" spans="1:11" ht="12.75" customHeight="1">
      <c r="A55" s="87" t="s">
        <v>651</v>
      </c>
      <c r="B55" s="170"/>
      <c r="C55" s="767"/>
      <c r="D55" s="772"/>
      <c r="E55" s="752"/>
      <c r="F55" s="752"/>
      <c r="G55" s="752"/>
      <c r="H55" s="752"/>
      <c r="I55" s="45">
        <f t="shared" si="1"/>
        <v>0</v>
      </c>
      <c r="J55" s="125" t="str">
        <f t="shared" si="2"/>
        <v/>
      </c>
      <c r="K55" s="754"/>
    </row>
    <row r="56" spans="1:11" ht="12.75" customHeight="1">
      <c r="A56" s="87" t="s">
        <v>551</v>
      </c>
      <c r="B56" s="170"/>
      <c r="C56" s="767"/>
      <c r="D56" s="772"/>
      <c r="E56" s="752"/>
      <c r="F56" s="752"/>
      <c r="G56" s="752"/>
      <c r="H56" s="752"/>
      <c r="I56" s="45">
        <f t="shared" si="1"/>
        <v>0</v>
      </c>
      <c r="J56" s="125" t="str">
        <f t="shared" si="2"/>
        <v/>
      </c>
      <c r="K56" s="754"/>
    </row>
    <row r="57" spans="1:11" ht="12.75" customHeight="1">
      <c r="A57" s="87" t="s">
        <v>552</v>
      </c>
      <c r="B57" s="170"/>
      <c r="C57" s="767"/>
      <c r="D57" s="772"/>
      <c r="E57" s="752"/>
      <c r="F57" s="752"/>
      <c r="G57" s="752"/>
      <c r="H57" s="752"/>
      <c r="I57" s="45">
        <f t="shared" si="1"/>
        <v>0</v>
      </c>
      <c r="J57" s="125" t="str">
        <f t="shared" si="2"/>
        <v/>
      </c>
      <c r="K57" s="754"/>
    </row>
    <row r="58" spans="1:11" ht="12.75" customHeight="1">
      <c r="A58" s="87" t="s">
        <v>740</v>
      </c>
      <c r="B58" s="170"/>
      <c r="C58" s="767"/>
      <c r="D58" s="772"/>
      <c r="E58" s="752"/>
      <c r="F58" s="752"/>
      <c r="G58" s="752"/>
      <c r="H58" s="752"/>
      <c r="I58" s="45">
        <f t="shared" si="1"/>
        <v>0</v>
      </c>
      <c r="J58" s="125" t="str">
        <f t="shared" si="2"/>
        <v/>
      </c>
      <c r="K58" s="754"/>
    </row>
    <row r="59" spans="1:11" ht="12.75" customHeight="1">
      <c r="A59" s="87" t="s">
        <v>694</v>
      </c>
      <c r="B59" s="170"/>
      <c r="C59" s="767"/>
      <c r="D59" s="772"/>
      <c r="E59" s="752"/>
      <c r="F59" s="752"/>
      <c r="G59" s="752"/>
      <c r="H59" s="752"/>
      <c r="I59" s="45">
        <f t="shared" si="1"/>
        <v>0</v>
      </c>
      <c r="J59" s="125" t="str">
        <f t="shared" si="2"/>
        <v/>
      </c>
      <c r="K59" s="754"/>
    </row>
    <row r="60" spans="1:11" ht="12.75" customHeight="1">
      <c r="A60" s="87" t="s">
        <v>693</v>
      </c>
      <c r="B60" s="170"/>
      <c r="C60" s="767"/>
      <c r="D60" s="772"/>
      <c r="E60" s="752"/>
      <c r="F60" s="752"/>
      <c r="G60" s="752"/>
      <c r="H60" s="752"/>
      <c r="I60" s="45">
        <f t="shared" si="1"/>
        <v>0</v>
      </c>
      <c r="J60" s="125" t="str">
        <f t="shared" si="2"/>
        <v/>
      </c>
      <c r="K60" s="754"/>
    </row>
    <row r="61" spans="1:11" ht="12.75" customHeight="1">
      <c r="A61" s="87" t="s">
        <v>652</v>
      </c>
      <c r="B61" s="170"/>
      <c r="C61" s="767"/>
      <c r="D61" s="772"/>
      <c r="E61" s="752"/>
      <c r="F61" s="752"/>
      <c r="G61" s="752"/>
      <c r="H61" s="752"/>
      <c r="I61" s="45">
        <f t="shared" si="1"/>
        <v>0</v>
      </c>
      <c r="J61" s="125" t="str">
        <f t="shared" si="2"/>
        <v/>
      </c>
      <c r="K61" s="754"/>
    </row>
    <row r="62" spans="1:11" ht="12.75" customHeight="1">
      <c r="A62" s="40" t="s">
        <v>883</v>
      </c>
      <c r="B62" s="170"/>
      <c r="C62" s="767"/>
      <c r="D62" s="772"/>
      <c r="E62" s="752"/>
      <c r="F62" s="752"/>
      <c r="G62" s="752"/>
      <c r="H62" s="752"/>
      <c r="I62" s="45">
        <f t="shared" si="1"/>
        <v>0</v>
      </c>
      <c r="J62" s="125" t="str">
        <f t="shared" si="2"/>
        <v/>
      </c>
      <c r="K62" s="754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169</v>
      </c>
      <c r="B64" s="170"/>
      <c r="C64" s="589">
        <f t="shared" ref="C64:H64" si="13">SUM(C65:C66)</f>
        <v>0</v>
      </c>
      <c r="D64" s="590">
        <f t="shared" si="13"/>
        <v>0</v>
      </c>
      <c r="E64" s="591">
        <f t="shared" si="13"/>
        <v>0</v>
      </c>
      <c r="F64" s="591">
        <f t="shared" si="13"/>
        <v>0</v>
      </c>
      <c r="G64" s="591">
        <f t="shared" si="13"/>
        <v>0</v>
      </c>
      <c r="H64" s="591">
        <f t="shared" si="13"/>
        <v>0</v>
      </c>
      <c r="I64" s="591">
        <f>H64-G64</f>
        <v>0</v>
      </c>
      <c r="J64" s="328" t="str">
        <f t="shared" si="2"/>
        <v/>
      </c>
      <c r="K64" s="593">
        <f>SUM(K65)</f>
        <v>0</v>
      </c>
    </row>
    <row r="65" spans="1:12" ht="12.75" customHeight="1">
      <c r="A65" s="805" t="s">
        <v>1006</v>
      </c>
      <c r="B65" s="170"/>
      <c r="C65" s="767"/>
      <c r="D65" s="772"/>
      <c r="E65" s="752"/>
      <c r="F65" s="752"/>
      <c r="G65" s="752"/>
      <c r="H65" s="752"/>
      <c r="I65" s="45">
        <f>H65-G65</f>
        <v>0</v>
      </c>
      <c r="J65" s="125" t="str">
        <f t="shared" si="2"/>
        <v/>
      </c>
      <c r="K65" s="754"/>
    </row>
    <row r="66" spans="1:12" ht="12.75" customHeight="1">
      <c r="A66" s="805"/>
      <c r="B66" s="170"/>
      <c r="C66" s="767"/>
      <c r="D66" s="772"/>
      <c r="E66" s="752"/>
      <c r="F66" s="752"/>
      <c r="G66" s="752"/>
      <c r="H66" s="752"/>
      <c r="I66" s="45">
        <f>H66-G66</f>
        <v>0</v>
      </c>
      <c r="J66" s="125" t="str">
        <f t="shared" si="2"/>
        <v/>
      </c>
      <c r="K66" s="754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577</v>
      </c>
      <c r="B68" s="170"/>
      <c r="C68" s="589">
        <f t="shared" ref="C68:H68" si="14">SUM(C69:C70)</f>
        <v>0</v>
      </c>
      <c r="D68" s="590">
        <f t="shared" si="14"/>
        <v>0</v>
      </c>
      <c r="E68" s="591">
        <f t="shared" si="14"/>
        <v>0</v>
      </c>
      <c r="F68" s="591">
        <f t="shared" si="14"/>
        <v>0</v>
      </c>
      <c r="G68" s="591">
        <f t="shared" si="14"/>
        <v>0</v>
      </c>
      <c r="H68" s="591">
        <f t="shared" si="14"/>
        <v>0</v>
      </c>
      <c r="I68" s="591">
        <f>H68-G68</f>
        <v>0</v>
      </c>
      <c r="J68" s="328" t="str">
        <f>IF(I68=0,"",I68/H68)</f>
        <v/>
      </c>
      <c r="K68" s="593">
        <f>SUM(K69)</f>
        <v>0</v>
      </c>
    </row>
    <row r="69" spans="1:12" ht="12.75" customHeight="1">
      <c r="A69" s="805" t="s">
        <v>1006</v>
      </c>
      <c r="B69" s="170"/>
      <c r="C69" s="767"/>
      <c r="D69" s="772"/>
      <c r="E69" s="752"/>
      <c r="F69" s="752"/>
      <c r="G69" s="752"/>
      <c r="H69" s="752"/>
      <c r="I69" s="45">
        <f>H69-G69</f>
        <v>0</v>
      </c>
      <c r="J69" s="125" t="str">
        <f>IF(I69=0,"",I69/H69)</f>
        <v/>
      </c>
      <c r="K69" s="754"/>
    </row>
    <row r="70" spans="1:12" ht="12.75" customHeight="1">
      <c r="A70" s="805"/>
      <c r="B70" s="170"/>
      <c r="C70" s="767"/>
      <c r="D70" s="772"/>
      <c r="E70" s="752"/>
      <c r="F70" s="752"/>
      <c r="G70" s="752"/>
      <c r="H70" s="752"/>
      <c r="I70" s="45">
        <f>H70-G70</f>
        <v>0</v>
      </c>
      <c r="J70" s="125" t="str">
        <f>IF(I70=0,"",I70/H70)</f>
        <v/>
      </c>
      <c r="K70" s="754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609</v>
      </c>
      <c r="B72" s="170"/>
      <c r="C72" s="589">
        <f t="shared" ref="C72:H72" si="15">SUM(C73:C74)</f>
        <v>0</v>
      </c>
      <c r="D72" s="590">
        <f t="shared" si="15"/>
        <v>0</v>
      </c>
      <c r="E72" s="591">
        <f t="shared" si="15"/>
        <v>0</v>
      </c>
      <c r="F72" s="591">
        <f t="shared" si="15"/>
        <v>0</v>
      </c>
      <c r="G72" s="591">
        <f t="shared" si="15"/>
        <v>0</v>
      </c>
      <c r="H72" s="591">
        <f t="shared" si="15"/>
        <v>0</v>
      </c>
      <c r="I72" s="591">
        <f>H72-G72</f>
        <v>0</v>
      </c>
      <c r="J72" s="592" t="str">
        <f>IF(I72=0,"",I72/H72)</f>
        <v/>
      </c>
      <c r="K72" s="593">
        <f>SUM(K73:K74)</f>
        <v>0</v>
      </c>
    </row>
    <row r="73" spans="1:12" ht="12.75" customHeight="1">
      <c r="A73" s="40" t="s">
        <v>795</v>
      </c>
      <c r="B73" s="170"/>
      <c r="C73" s="767"/>
      <c r="D73" s="772"/>
      <c r="E73" s="752"/>
      <c r="F73" s="752"/>
      <c r="G73" s="752"/>
      <c r="H73" s="752"/>
      <c r="I73" s="45">
        <f>H73-G73</f>
        <v>0</v>
      </c>
      <c r="J73" s="125" t="str">
        <f>IF(I73=0,"",I73/H73)</f>
        <v/>
      </c>
      <c r="K73" s="754"/>
    </row>
    <row r="74" spans="1:12" ht="12.75" customHeight="1">
      <c r="A74" s="40" t="s">
        <v>883</v>
      </c>
      <c r="B74" s="170"/>
      <c r="C74" s="767"/>
      <c r="D74" s="772"/>
      <c r="E74" s="752"/>
      <c r="F74" s="752"/>
      <c r="G74" s="752"/>
      <c r="H74" s="752"/>
      <c r="I74" s="45">
        <f>H74-G74</f>
        <v>0</v>
      </c>
      <c r="J74" s="125" t="str">
        <f>IF(I74=0,"",I74/H74)</f>
        <v/>
      </c>
      <c r="K74" s="754"/>
    </row>
    <row r="75" spans="1:12" s="101" customFormat="1" ht="5.25" customHeight="1">
      <c r="A75" s="594"/>
      <c r="B75" s="172"/>
      <c r="C75" s="540"/>
      <c r="D75" s="541"/>
      <c r="E75" s="542"/>
      <c r="F75" s="542"/>
      <c r="G75" s="542"/>
      <c r="H75" s="542"/>
      <c r="I75" s="48"/>
      <c r="J75" s="125"/>
      <c r="K75" s="543"/>
      <c r="L75" s="25"/>
    </row>
    <row r="76" spans="1:12" ht="12.75" customHeight="1">
      <c r="A76" s="580" t="s">
        <v>1067</v>
      </c>
      <c r="B76" s="237"/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4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5"/>
      <c r="K77" s="50"/>
    </row>
    <row r="78" spans="1:12" ht="12.75" customHeight="1">
      <c r="A78" s="183" t="s">
        <v>168</v>
      </c>
      <c r="B78" s="187"/>
      <c r="C78" s="716">
        <f t="shared" ref="C78:K78" si="17">SUM(C79:C82)</f>
        <v>0</v>
      </c>
      <c r="D78" s="717">
        <f t="shared" si="17"/>
        <v>0</v>
      </c>
      <c r="E78" s="717">
        <f t="shared" si="17"/>
        <v>0</v>
      </c>
      <c r="F78" s="717">
        <f t="shared" si="17"/>
        <v>0</v>
      </c>
      <c r="G78" s="717">
        <f t="shared" si="17"/>
        <v>0</v>
      </c>
      <c r="H78" s="717">
        <f t="shared" si="17"/>
        <v>0</v>
      </c>
      <c r="I78" s="717">
        <f>H78-G78</f>
        <v>0</v>
      </c>
      <c r="J78" s="717" t="str">
        <f>IF(I78=0,"",I78/H78)</f>
        <v/>
      </c>
      <c r="K78" s="718">
        <f t="shared" si="17"/>
        <v>0</v>
      </c>
    </row>
    <row r="79" spans="1:12" ht="12.75" customHeight="1">
      <c r="A79" s="40" t="s">
        <v>11</v>
      </c>
      <c r="B79" s="170"/>
      <c r="C79" s="764"/>
      <c r="D79" s="752"/>
      <c r="E79" s="752"/>
      <c r="F79" s="752"/>
      <c r="G79" s="752"/>
      <c r="H79" s="752"/>
      <c r="I79" s="51">
        <f>H79-G79</f>
        <v>0</v>
      </c>
      <c r="J79" s="51" t="str">
        <f>IF(I79=0,"",I79/H79)</f>
        <v/>
      </c>
      <c r="K79" s="754"/>
    </row>
    <row r="80" spans="1:12" ht="12.75" customHeight="1">
      <c r="A80" s="40" t="s">
        <v>212</v>
      </c>
      <c r="B80" s="170"/>
      <c r="C80" s="764"/>
      <c r="D80" s="752"/>
      <c r="E80" s="752"/>
      <c r="F80" s="752"/>
      <c r="G80" s="752"/>
      <c r="H80" s="752"/>
      <c r="I80" s="51">
        <f>H80-G80</f>
        <v>0</v>
      </c>
      <c r="J80" s="51" t="str">
        <f>IF(I80=0,"",I80/H80)</f>
        <v/>
      </c>
      <c r="K80" s="754"/>
    </row>
    <row r="81" spans="1:11" ht="12.75" customHeight="1">
      <c r="A81" s="40" t="s">
        <v>12</v>
      </c>
      <c r="B81" s="170"/>
      <c r="C81" s="764"/>
      <c r="D81" s="752"/>
      <c r="E81" s="752"/>
      <c r="F81" s="752"/>
      <c r="G81" s="752"/>
      <c r="H81" s="752"/>
      <c r="I81" s="51">
        <f>H81-G81</f>
        <v>0</v>
      </c>
      <c r="J81" s="51" t="str">
        <f>IF(I81=0,"",I81/H81)</f>
        <v/>
      </c>
      <c r="K81" s="754"/>
    </row>
    <row r="82" spans="1:11" ht="12.75" customHeight="1">
      <c r="A82" s="130" t="s">
        <v>13</v>
      </c>
      <c r="B82" s="120"/>
      <c r="C82" s="806"/>
      <c r="D82" s="807"/>
      <c r="E82" s="807"/>
      <c r="F82" s="807"/>
      <c r="G82" s="807"/>
      <c r="H82" s="807"/>
      <c r="I82" s="77">
        <f>H82-G82</f>
        <v>0</v>
      </c>
      <c r="J82" s="77" t="str">
        <f>IF(I82=0,"",I82/H82)</f>
        <v/>
      </c>
      <c r="K82" s="808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21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21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21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21"/>
    </row>
    <row r="88" spans="1:11" ht="11.25" customHeight="1">
      <c r="A88" s="721"/>
    </row>
    <row r="89" spans="1:11" ht="11.25" customHeight="1">
      <c r="A89" s="721"/>
    </row>
    <row r="90" spans="1:11" ht="11.25" customHeight="1">
      <c r="A90" s="905"/>
    </row>
    <row r="91" spans="1:11" ht="11.25" customHeight="1">
      <c r="A91" s="905"/>
    </row>
    <row r="92" spans="1:11" ht="11.25" customHeight="1">
      <c r="A92" s="905"/>
    </row>
    <row r="93" spans="1:11" ht="11.25" customHeight="1">
      <c r="A93" s="905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8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="80" zoomScaleNormal="100" zoomScaleSheetLayoutView="80" workbookViewId="0">
      <selection activeCell="B3" sqref="B3"/>
    </sheetView>
  </sheetViews>
  <sheetFormatPr defaultRowHeight="12.75"/>
  <cols>
    <col min="1" max="1" width="10.7109375" style="25" customWidth="1"/>
    <col min="2" max="16384" width="9.140625" style="25"/>
  </cols>
  <sheetData>
    <row r="1" spans="1:11" ht="13.5">
      <c r="A1" s="369" t="str">
        <f>'Template names'!B101</f>
        <v>Chart C1 2013/14 Capital Expenditure Monthly Trend: actual v target</v>
      </c>
      <c r="B1" s="340"/>
      <c r="C1" s="340"/>
      <c r="D1" s="340"/>
      <c r="E1" s="343"/>
      <c r="F1" s="68"/>
      <c r="G1" s="68"/>
      <c r="H1" s="68"/>
      <c r="I1" s="68"/>
    </row>
    <row r="2" spans="1:11">
      <c r="A2" s="317" t="s">
        <v>1070</v>
      </c>
      <c r="B2" s="362" t="str">
        <f>'SC12'!B2</f>
        <v>2012/13</v>
      </c>
      <c r="C2" s="362" t="str">
        <f>'SC12'!C3</f>
        <v>Original Budget</v>
      </c>
      <c r="D2" s="362" t="str">
        <f>'SC12'!D3</f>
        <v>Adjusted Budget</v>
      </c>
      <c r="E2" s="363" t="str">
        <f>'SC12'!E3</f>
        <v>Monthly actual</v>
      </c>
      <c r="F2" s="62"/>
      <c r="G2" s="62"/>
      <c r="H2" s="62"/>
      <c r="I2" s="62"/>
    </row>
    <row r="3" spans="1:11">
      <c r="A3" s="43" t="str">
        <f>LEFT('SC12'!A6,3)</f>
        <v>Jul</v>
      </c>
      <c r="B3" s="44">
        <f>'SC12'!B6</f>
        <v>0</v>
      </c>
      <c r="C3" s="44">
        <f>'SC12'!C6</f>
        <v>30598000</v>
      </c>
      <c r="D3" s="44">
        <f>'SC12'!D6</f>
        <v>0</v>
      </c>
      <c r="E3" s="46">
        <f>'SC12'!E6</f>
        <v>14820860.01</v>
      </c>
      <c r="F3" s="44"/>
      <c r="G3" s="44"/>
      <c r="H3" s="44"/>
      <c r="I3" s="44"/>
      <c r="J3" s="44"/>
      <c r="K3" s="44"/>
    </row>
    <row r="4" spans="1:11">
      <c r="A4" s="43" t="str">
        <f>LEFT('SC12'!A7,3)</f>
        <v>Aug</v>
      </c>
      <c r="B4" s="44">
        <f>'SC12'!B7</f>
        <v>0</v>
      </c>
      <c r="C4" s="44">
        <f>'SC12'!C7</f>
        <v>33977000</v>
      </c>
      <c r="D4" s="44">
        <f>'SC12'!D7</f>
        <v>0</v>
      </c>
      <c r="E4" s="46">
        <f>'SC12'!E7</f>
        <v>20808748.510000002</v>
      </c>
      <c r="F4" s="44"/>
      <c r="G4" s="44"/>
      <c r="H4" s="44"/>
      <c r="I4" s="44"/>
      <c r="J4" s="44"/>
      <c r="K4" s="44"/>
    </row>
    <row r="5" spans="1:11">
      <c r="A5" s="43" t="str">
        <f>LEFT('SC12'!A8,3)</f>
        <v>Sep</v>
      </c>
      <c r="B5" s="44">
        <f>'SC12'!B8</f>
        <v>0</v>
      </c>
      <c r="C5" s="44">
        <f>'SC12'!C8</f>
        <v>25908000</v>
      </c>
      <c r="D5" s="44">
        <f>'SC12'!D8</f>
        <v>0</v>
      </c>
      <c r="E5" s="46">
        <f>'SC12'!E8</f>
        <v>6562230.4799999995</v>
      </c>
      <c r="F5" s="44"/>
      <c r="G5" s="44"/>
      <c r="H5" s="44"/>
      <c r="I5" s="44"/>
      <c r="J5" s="44"/>
      <c r="K5" s="44"/>
    </row>
    <row r="6" spans="1:11">
      <c r="A6" s="43" t="str">
        <f>LEFT('SC12'!A9,3)</f>
        <v>Oct</v>
      </c>
      <c r="B6" s="44">
        <f>'SC12'!B9</f>
        <v>0</v>
      </c>
      <c r="C6" s="44">
        <f>'SC12'!C9</f>
        <v>26423000</v>
      </c>
      <c r="D6" s="44">
        <f>'SC12'!D9</f>
        <v>0</v>
      </c>
      <c r="E6" s="46">
        <f>'SC12'!E9</f>
        <v>22802079.98</v>
      </c>
      <c r="F6" s="44"/>
      <c r="G6" s="44"/>
      <c r="H6" s="44"/>
      <c r="I6" s="44"/>
      <c r="J6" s="44"/>
      <c r="K6" s="44"/>
    </row>
    <row r="7" spans="1:11">
      <c r="A7" s="43" t="str">
        <f>LEFT('SC12'!A10,3)</f>
        <v>Nov</v>
      </c>
      <c r="B7" s="44">
        <f>'SC12'!B10</f>
        <v>0</v>
      </c>
      <c r="C7" s="44">
        <f>'SC12'!C10</f>
        <v>27010000</v>
      </c>
      <c r="D7" s="44">
        <f>'SC12'!D10</f>
        <v>0</v>
      </c>
      <c r="E7" s="46">
        <f>'SC12'!E10</f>
        <v>29640777.030000001</v>
      </c>
      <c r="F7" s="44"/>
      <c r="G7" s="44"/>
      <c r="H7" s="44"/>
      <c r="I7" s="44"/>
      <c r="J7" s="44"/>
      <c r="K7" s="44"/>
    </row>
    <row r="8" spans="1:11">
      <c r="A8" s="43" t="str">
        <f>LEFT('SC12'!A11,3)</f>
        <v>Dec</v>
      </c>
      <c r="B8" s="44">
        <f>'SC12'!B11</f>
        <v>0</v>
      </c>
      <c r="C8" s="44">
        <f>'SC12'!C11</f>
        <v>23233000</v>
      </c>
      <c r="D8" s="44">
        <f>'SC12'!D11</f>
        <v>0</v>
      </c>
      <c r="E8" s="46">
        <f>'SC12'!E11</f>
        <v>20036560.16</v>
      </c>
      <c r="F8" s="44"/>
      <c r="G8" s="44"/>
      <c r="H8" s="44"/>
      <c r="I8" s="44"/>
      <c r="J8" s="44"/>
      <c r="K8" s="44"/>
    </row>
    <row r="9" spans="1:11">
      <c r="A9" s="43" t="str">
        <f>LEFT('SC12'!A12,3)</f>
        <v>Jan</v>
      </c>
      <c r="B9" s="44">
        <f>'SC12'!B12</f>
        <v>0</v>
      </c>
      <c r="C9" s="44">
        <f>'SC12'!C12</f>
        <v>24422000</v>
      </c>
      <c r="D9" s="44">
        <f>'SC12'!D12</f>
        <v>0</v>
      </c>
      <c r="E9" s="46">
        <f>'SC12'!E12</f>
        <v>9754095.379999999</v>
      </c>
      <c r="F9" s="44"/>
      <c r="G9" s="44"/>
      <c r="H9" s="44"/>
      <c r="I9" s="44"/>
      <c r="J9" s="44"/>
      <c r="K9" s="44"/>
    </row>
    <row r="10" spans="1:11">
      <c r="A10" s="43" t="str">
        <f>LEFT('SC12'!A13,3)</f>
        <v>Feb</v>
      </c>
      <c r="B10" s="44">
        <f>'SC12'!B13</f>
        <v>0</v>
      </c>
      <c r="C10" s="44">
        <f>'SC12'!C13</f>
        <v>24596000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>
      <c r="A11" s="43" t="str">
        <f>LEFT('SC12'!A14,3)</f>
        <v>Mar</v>
      </c>
      <c r="B11" s="44">
        <f>'SC12'!B14</f>
        <v>0</v>
      </c>
      <c r="C11" s="44">
        <f>'SC12'!C14</f>
        <v>25237000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>
      <c r="A12" s="43" t="str">
        <f>LEFT('SC12'!A15,3)</f>
        <v>Apr</v>
      </c>
      <c r="B12" s="44">
        <f>'SC12'!B15</f>
        <v>0</v>
      </c>
      <c r="C12" s="44">
        <f>'SC12'!C15</f>
        <v>31741000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>
      <c r="A13" s="43" t="str">
        <f>LEFT('SC12'!A16,3)</f>
        <v>May</v>
      </c>
      <c r="B13" s="44">
        <f>'SC12'!B16</f>
        <v>0</v>
      </c>
      <c r="C13" s="44">
        <f>'SC12'!C16</f>
        <v>29600000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>
      <c r="A14" s="92" t="str">
        <f>LEFT('SC12'!A17,3)</f>
        <v>Jun</v>
      </c>
      <c r="B14" s="360">
        <f>'SC12'!B17</f>
        <v>0</v>
      </c>
      <c r="C14" s="360">
        <f>'SC12'!C17</f>
        <v>91279000</v>
      </c>
      <c r="D14" s="360">
        <f>'SC12'!D17</f>
        <v>0</v>
      </c>
      <c r="E14" s="361">
        <f>'SC12'!E17</f>
        <v>0</v>
      </c>
      <c r="F14" s="44"/>
      <c r="G14" s="44"/>
      <c r="H14" s="44"/>
      <c r="I14" s="44"/>
      <c r="J14" s="44"/>
      <c r="K14" s="44"/>
    </row>
    <row r="25" spans="1:10">
      <c r="E25" s="68"/>
      <c r="F25" s="68"/>
      <c r="G25" s="68"/>
      <c r="H25" s="68"/>
      <c r="I25" s="68"/>
    </row>
    <row r="26" spans="1:10" ht="13.5">
      <c r="A26" s="370" t="str">
        <f>'Template names'!B102</f>
        <v>Chart C2 2013/14 Capital Expenditure: YTD actual v YTD target</v>
      </c>
      <c r="B26" s="367"/>
      <c r="C26" s="367"/>
      <c r="D26" s="368"/>
      <c r="E26" s="62"/>
      <c r="F26" s="62"/>
      <c r="G26" s="62"/>
      <c r="H26" s="62"/>
      <c r="I26" s="62"/>
    </row>
    <row r="27" spans="1:10">
      <c r="A27" s="317" t="s">
        <v>1070</v>
      </c>
      <c r="B27" s="362" t="str">
        <f>'SC12'!F3</f>
        <v>YearTD actual</v>
      </c>
      <c r="C27" s="362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>
      <c r="A28" s="364" t="str">
        <f>LEFT('SC12'!A6,3)</f>
        <v>Jul</v>
      </c>
      <c r="B28" s="365">
        <f>'SC12'!F6</f>
        <v>14820860.01</v>
      </c>
      <c r="C28" s="366">
        <f>'SC12'!G6</f>
        <v>30598000</v>
      </c>
      <c r="D28" s="44"/>
      <c r="E28" s="44"/>
      <c r="F28" s="44"/>
      <c r="G28" s="44"/>
      <c r="H28" s="44"/>
      <c r="I28" s="44"/>
    </row>
    <row r="29" spans="1:10">
      <c r="A29" s="43" t="str">
        <f>LEFT('SC12'!A7,3)</f>
        <v>Aug</v>
      </c>
      <c r="B29" s="44">
        <f>'SC12'!F7</f>
        <v>35629608.520000003</v>
      </c>
      <c r="C29" s="46">
        <f>'SC12'!G7</f>
        <v>64575000</v>
      </c>
      <c r="D29" s="44"/>
      <c r="E29" s="44"/>
      <c r="F29" s="44"/>
      <c r="G29" s="44"/>
      <c r="H29" s="44"/>
      <c r="I29" s="44"/>
    </row>
    <row r="30" spans="1:10">
      <c r="A30" s="43" t="str">
        <f>LEFT('SC12'!A8,3)</f>
        <v>Sep</v>
      </c>
      <c r="B30" s="44">
        <f>'SC12'!F8</f>
        <v>42191839</v>
      </c>
      <c r="C30" s="46">
        <f>'SC12'!G8</f>
        <v>90483000</v>
      </c>
      <c r="D30" s="44"/>
      <c r="E30" s="44"/>
      <c r="F30" s="44"/>
      <c r="G30" s="44"/>
      <c r="H30" s="44"/>
      <c r="I30" s="44"/>
    </row>
    <row r="31" spans="1:10">
      <c r="A31" s="43" t="str">
        <f>LEFT('SC12'!A9,3)</f>
        <v>Oct</v>
      </c>
      <c r="B31" s="44">
        <f>'SC12'!F9</f>
        <v>64993918.980000004</v>
      </c>
      <c r="C31" s="46">
        <f>'SC12'!G9</f>
        <v>116906000</v>
      </c>
      <c r="D31" s="44"/>
      <c r="E31" s="44"/>
      <c r="F31" s="44"/>
      <c r="G31" s="44"/>
      <c r="H31" s="44"/>
      <c r="I31" s="44"/>
    </row>
    <row r="32" spans="1:10">
      <c r="A32" s="43" t="str">
        <f>LEFT('SC12'!A10,3)</f>
        <v>Nov</v>
      </c>
      <c r="B32" s="44">
        <f>'SC12'!F10</f>
        <v>94634696.010000005</v>
      </c>
      <c r="C32" s="46">
        <f>'SC12'!G10</f>
        <v>143916000</v>
      </c>
      <c r="D32" s="44"/>
      <c r="E32" s="44"/>
      <c r="F32" s="44"/>
      <c r="G32" s="44"/>
      <c r="H32" s="44"/>
      <c r="I32" s="44"/>
    </row>
    <row r="33" spans="1:9">
      <c r="A33" s="43" t="str">
        <f>LEFT('SC12'!A11,3)</f>
        <v>Dec</v>
      </c>
      <c r="B33" s="44">
        <f>'SC12'!F11</f>
        <v>114671256.17</v>
      </c>
      <c r="C33" s="46">
        <f>'SC12'!G11</f>
        <v>167149000</v>
      </c>
      <c r="D33" s="44"/>
      <c r="E33" s="44"/>
      <c r="F33" s="44"/>
      <c r="G33" s="44"/>
      <c r="H33" s="44"/>
      <c r="I33" s="44"/>
    </row>
    <row r="34" spans="1:9">
      <c r="A34" s="43" t="str">
        <f>LEFT('SC12'!A12,3)</f>
        <v>Jan</v>
      </c>
      <c r="B34" s="44">
        <f>'SC12'!F12</f>
        <v>124425351.55</v>
      </c>
      <c r="C34" s="46">
        <f>'SC12'!G12</f>
        <v>191571000</v>
      </c>
      <c r="D34" s="44"/>
      <c r="E34" s="44"/>
      <c r="F34" s="44"/>
      <c r="G34" s="44"/>
      <c r="H34" s="44"/>
      <c r="I34" s="44"/>
    </row>
    <row r="35" spans="1:9">
      <c r="A35" s="43" t="str">
        <f>LEFT('SC12'!A13,3)</f>
        <v>Feb</v>
      </c>
      <c r="B35" s="44" t="str">
        <f>'SC12'!F13</f>
        <v/>
      </c>
      <c r="C35" s="46">
        <f>'SC12'!G13</f>
        <v>216167000</v>
      </c>
      <c r="D35" s="44"/>
      <c r="E35" s="44"/>
      <c r="F35" s="44"/>
      <c r="G35" s="44"/>
      <c r="H35" s="44"/>
      <c r="I35" s="44"/>
    </row>
    <row r="36" spans="1:9">
      <c r="A36" s="43" t="str">
        <f>LEFT('SC12'!A14,3)</f>
        <v>Mar</v>
      </c>
      <c r="B36" s="44" t="str">
        <f>'SC12'!F14</f>
        <v/>
      </c>
      <c r="C36" s="46">
        <f>'SC12'!G14</f>
        <v>241404000</v>
      </c>
      <c r="D36" s="44"/>
      <c r="E36" s="44"/>
      <c r="F36" s="44"/>
      <c r="G36" s="44"/>
      <c r="H36" s="44"/>
      <c r="I36" s="44"/>
    </row>
    <row r="37" spans="1:9">
      <c r="A37" s="43" t="str">
        <f>LEFT('SC12'!A15,3)</f>
        <v>Apr</v>
      </c>
      <c r="B37" s="44" t="str">
        <f>'SC12'!F15</f>
        <v/>
      </c>
      <c r="C37" s="46">
        <f>'SC12'!G15</f>
        <v>273145000</v>
      </c>
      <c r="D37" s="44"/>
      <c r="E37" s="44"/>
      <c r="F37" s="44"/>
      <c r="G37" s="44"/>
      <c r="H37" s="44"/>
      <c r="I37" s="44"/>
    </row>
    <row r="38" spans="1:9">
      <c r="A38" s="43" t="str">
        <f>LEFT('SC12'!A16,3)</f>
        <v>May</v>
      </c>
      <c r="B38" s="44" t="str">
        <f>'SC12'!F16</f>
        <v/>
      </c>
      <c r="C38" s="46">
        <f>'SC12'!G16</f>
        <v>302745000</v>
      </c>
      <c r="D38" s="44"/>
      <c r="E38" s="44"/>
      <c r="F38" s="44"/>
      <c r="G38" s="44"/>
      <c r="H38" s="44"/>
      <c r="I38" s="44"/>
    </row>
    <row r="39" spans="1:9">
      <c r="A39" s="92" t="str">
        <f>LEFT('SC12'!A17,3)</f>
        <v>Jun</v>
      </c>
      <c r="B39" s="360" t="str">
        <f>'SC12'!F17</f>
        <v/>
      </c>
      <c r="C39" s="361">
        <f>'SC12'!G17</f>
        <v>394024000</v>
      </c>
      <c r="D39" s="44"/>
      <c r="E39" s="44"/>
      <c r="F39" s="44"/>
      <c r="G39" s="44"/>
      <c r="H39" s="44"/>
      <c r="I39" s="44"/>
    </row>
    <row r="51" spans="1:9" ht="13.5">
      <c r="A51" s="370" t="e">
        <f>Month&amp;" "&amp;'Template names'!B103</f>
        <v>#VALUE!</v>
      </c>
      <c r="B51" s="367"/>
      <c r="C51" s="367"/>
      <c r="D51" s="368"/>
      <c r="E51" s="62"/>
      <c r="F51" s="62"/>
      <c r="G51" s="62"/>
      <c r="H51" s="62"/>
      <c r="I51" s="62"/>
    </row>
    <row r="52" spans="1:9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>
      <c r="A53" s="62" t="str">
        <f>Head2</f>
        <v>Budget Year 2013/14</v>
      </c>
      <c r="B53" s="44">
        <f>'SC3'!C13</f>
        <v>63284037.159999996</v>
      </c>
      <c r="C53" s="44">
        <f>'SC3'!D13</f>
        <v>22992099.169999998</v>
      </c>
      <c r="D53" s="44">
        <f>'SC3'!E13</f>
        <v>621393166.86000013</v>
      </c>
      <c r="E53" s="44">
        <f>'SC3'!F13</f>
        <v>0</v>
      </c>
      <c r="F53" s="44">
        <f>'SC3'!G13</f>
        <v>0</v>
      </c>
      <c r="G53" s="44">
        <f>'SC3'!H13</f>
        <v>0</v>
      </c>
      <c r="H53" s="44">
        <f>'SC3'!I13</f>
        <v>0</v>
      </c>
      <c r="I53" s="44">
        <f>'SC3'!J13</f>
        <v>0</v>
      </c>
    </row>
    <row r="54" spans="1:9">
      <c r="A54" s="62" t="str">
        <f>Head1</f>
        <v>2012/13</v>
      </c>
      <c r="B54" s="44">
        <f>'SC3'!C14</f>
        <v>0</v>
      </c>
      <c r="C54" s="44">
        <f>'SC3'!D14</f>
        <v>0</v>
      </c>
      <c r="D54" s="44">
        <f>'SC3'!E14</f>
        <v>0</v>
      </c>
      <c r="E54" s="44">
        <f>'SC3'!F14</f>
        <v>0</v>
      </c>
      <c r="F54" s="44">
        <f>'SC3'!G14</f>
        <v>0</v>
      </c>
      <c r="G54" s="44">
        <f>'SC3'!H14</f>
        <v>0</v>
      </c>
      <c r="H54" s="44">
        <f>'SC3'!I14</f>
        <v>0</v>
      </c>
      <c r="I54" s="44">
        <f>'SC3'!J14</f>
        <v>0</v>
      </c>
    </row>
    <row r="55" spans="1:9">
      <c r="A55" s="68"/>
      <c r="B55" s="44"/>
      <c r="C55" s="44"/>
      <c r="D55" s="44"/>
      <c r="E55" s="44"/>
      <c r="F55" s="44"/>
      <c r="G55" s="44"/>
      <c r="H55" s="44"/>
      <c r="I55" s="44"/>
    </row>
    <row r="56" spans="1:9">
      <c r="A56" s="68"/>
      <c r="B56" s="44"/>
      <c r="C56" s="44"/>
      <c r="D56" s="44"/>
      <c r="E56" s="44"/>
      <c r="F56" s="44"/>
      <c r="G56" s="44"/>
      <c r="H56" s="44"/>
      <c r="I56" s="44"/>
    </row>
    <row r="57" spans="1:9">
      <c r="A57" s="68"/>
      <c r="B57" s="44"/>
      <c r="C57" s="44"/>
      <c r="D57" s="44"/>
      <c r="E57" s="44"/>
      <c r="F57" s="44"/>
      <c r="G57" s="44"/>
      <c r="H57" s="44"/>
      <c r="I57" s="44"/>
    </row>
    <row r="58" spans="1:9">
      <c r="A58" s="68"/>
      <c r="B58" s="44"/>
      <c r="C58" s="44"/>
      <c r="D58" s="44"/>
      <c r="E58" s="44"/>
      <c r="F58" s="44"/>
      <c r="G58" s="44"/>
      <c r="H58" s="44"/>
      <c r="I58" s="44"/>
    </row>
    <row r="59" spans="1:9">
      <c r="A59" s="68"/>
      <c r="B59" s="44"/>
      <c r="C59" s="44"/>
      <c r="D59" s="44"/>
      <c r="E59" s="44"/>
      <c r="F59" s="44"/>
      <c r="G59" s="44"/>
      <c r="H59" s="44"/>
      <c r="I59" s="44"/>
    </row>
    <row r="60" spans="1:9">
      <c r="A60" s="68"/>
      <c r="B60" s="44"/>
      <c r="C60" s="44"/>
      <c r="D60" s="44"/>
      <c r="E60" s="44"/>
      <c r="F60" s="44"/>
      <c r="G60" s="44"/>
      <c r="H60" s="44"/>
      <c r="I60" s="44"/>
    </row>
    <row r="61" spans="1:9">
      <c r="A61" s="68"/>
      <c r="B61" s="44"/>
      <c r="C61" s="44"/>
      <c r="D61" s="44"/>
      <c r="E61" s="44"/>
      <c r="F61" s="44"/>
      <c r="G61" s="44"/>
      <c r="H61" s="44"/>
      <c r="I61" s="44"/>
    </row>
    <row r="62" spans="1:9">
      <c r="A62" s="68"/>
      <c r="B62" s="44"/>
      <c r="C62" s="44"/>
      <c r="D62" s="44"/>
      <c r="E62" s="44"/>
      <c r="F62" s="44"/>
      <c r="G62" s="44"/>
      <c r="H62" s="44"/>
      <c r="I62" s="44"/>
    </row>
    <row r="63" spans="1:9">
      <c r="A63" s="68"/>
      <c r="B63" s="44"/>
      <c r="C63" s="44"/>
      <c r="D63" s="44"/>
      <c r="E63" s="44"/>
      <c r="F63" s="44"/>
      <c r="G63" s="44"/>
      <c r="H63" s="44"/>
      <c r="I63" s="44"/>
    </row>
    <row r="64" spans="1:9">
      <c r="A64" s="68"/>
      <c r="B64" s="44"/>
      <c r="C64" s="44"/>
      <c r="D64" s="44"/>
      <c r="E64" s="44"/>
      <c r="F64" s="44"/>
      <c r="G64" s="44"/>
      <c r="H64" s="44"/>
      <c r="I64" s="44"/>
    </row>
    <row r="65" spans="1:10">
      <c r="A65" s="68"/>
      <c r="B65" s="68"/>
      <c r="C65" s="68"/>
      <c r="D65" s="68"/>
    </row>
    <row r="76" spans="1:10" ht="13.5">
      <c r="A76" s="370" t="e">
        <f>Month&amp;" "&amp;'Template names'!B104</f>
        <v>#VALUE!</v>
      </c>
      <c r="B76" s="367"/>
      <c r="C76" s="367"/>
      <c r="D76" s="368"/>
      <c r="E76" s="62"/>
      <c r="F76" s="62"/>
      <c r="G76" s="62"/>
      <c r="H76" s="62"/>
      <c r="I76" s="62"/>
    </row>
    <row r="77" spans="1:10">
      <c r="B77" s="50" t="str">
        <f>Head1</f>
        <v>2012/13</v>
      </c>
      <c r="C77" s="62" t="str">
        <f>Head2</f>
        <v>Budget Year 2013/14</v>
      </c>
      <c r="D77" s="62"/>
      <c r="E77" s="62"/>
      <c r="F77" s="62"/>
      <c r="G77" s="62"/>
      <c r="H77" s="62"/>
      <c r="I77" s="62"/>
      <c r="J77" s="62"/>
    </row>
    <row r="78" spans="1:10">
      <c r="A78" s="62" t="str">
        <f>'SC3'!A16</f>
        <v>Government</v>
      </c>
      <c r="B78" s="44">
        <f>C78*0.97</f>
        <v>192687372.22529998</v>
      </c>
      <c r="C78" s="44">
        <f>'SC3'!K16</f>
        <v>198646775.48999998</v>
      </c>
      <c r="D78" s="44"/>
      <c r="E78" s="44"/>
      <c r="F78" s="44"/>
      <c r="G78" s="44"/>
      <c r="H78" s="44"/>
      <c r="I78" s="44"/>
      <c r="J78" s="44"/>
    </row>
    <row r="79" spans="1:10">
      <c r="A79" s="62" t="str">
        <f>'SC3'!A17</f>
        <v>Business</v>
      </c>
      <c r="B79" s="44">
        <f>C79*0.97</f>
        <v>57351144.949000001</v>
      </c>
      <c r="C79" s="44">
        <f>'SC3'!K17</f>
        <v>59124891.700000003</v>
      </c>
      <c r="D79" s="44"/>
      <c r="E79" s="44"/>
      <c r="F79" s="44"/>
      <c r="G79" s="44"/>
      <c r="H79" s="44"/>
      <c r="I79" s="44"/>
      <c r="J79" s="44"/>
    </row>
    <row r="80" spans="1:10">
      <c r="A80" s="62" t="str">
        <f>'SC3'!A18</f>
        <v>Households</v>
      </c>
      <c r="B80" s="44">
        <f>C80*0.97</f>
        <v>324884170.77539998</v>
      </c>
      <c r="C80" s="44">
        <f>'SC3'!K18</f>
        <v>334932134.81999999</v>
      </c>
    </row>
    <row r="81" spans="1:3">
      <c r="A81" s="62" t="str">
        <f>'SC3'!A19</f>
        <v>Other</v>
      </c>
      <c r="B81" s="44">
        <f>C81*0.97</f>
        <v>111516536.14459997</v>
      </c>
      <c r="C81" s="44">
        <f>'SC3'!K19</f>
        <v>114965501.17999998</v>
      </c>
    </row>
    <row r="101" spans="1:10" ht="13.5">
      <c r="A101" s="370" t="e">
        <f>Month&amp;"  "&amp;'Template names'!B105</f>
        <v>#VALUE!</v>
      </c>
      <c r="B101" s="367"/>
      <c r="C101" s="367"/>
      <c r="D101" s="368"/>
      <c r="E101" s="62"/>
      <c r="F101" s="62"/>
    </row>
    <row r="102" spans="1:10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7" t="str">
        <f>'SC4'!A11</f>
        <v>Loan repayments</v>
      </c>
      <c r="H102" s="377" t="str">
        <f>'SC4'!A12</f>
        <v>Trade Creditors</v>
      </c>
      <c r="I102" s="377" t="str">
        <f>'SC4'!A13</f>
        <v>Auditor General</v>
      </c>
      <c r="J102" s="377" t="str">
        <f>'SC4'!A14</f>
        <v>Other</v>
      </c>
    </row>
    <row r="103" spans="1:10">
      <c r="A103" s="62" t="str">
        <f>A54</f>
        <v>2012/13</v>
      </c>
      <c r="B103" s="412">
        <f>'SC4'!L6</f>
        <v>0</v>
      </c>
      <c r="C103" s="412">
        <f>'SC4'!L7</f>
        <v>0</v>
      </c>
      <c r="D103" s="412">
        <f>'SC4'!L8</f>
        <v>0</v>
      </c>
      <c r="E103" s="412">
        <f>'SC4'!L9</f>
        <v>0</v>
      </c>
      <c r="F103" s="412">
        <f>'SC4'!L10</f>
        <v>0</v>
      </c>
      <c r="G103" s="412">
        <f>'SC4'!L11</f>
        <v>0</v>
      </c>
      <c r="H103" s="412">
        <f>'SC4'!L12</f>
        <v>0</v>
      </c>
      <c r="I103" s="412">
        <f>'SC4'!L13</f>
        <v>0</v>
      </c>
      <c r="J103" s="412">
        <f>'SC4'!L14</f>
        <v>0</v>
      </c>
    </row>
    <row r="104" spans="1:10">
      <c r="A104" s="62" t="str">
        <f>A53</f>
        <v>Budget Year 2013/14</v>
      </c>
      <c r="B104" s="44">
        <f>'SC4'!K6</f>
        <v>10964912</v>
      </c>
      <c r="C104" s="44">
        <f>'SC4'!K7</f>
        <v>0</v>
      </c>
      <c r="D104" s="44">
        <f>'SC4'!K8</f>
        <v>1912135</v>
      </c>
      <c r="E104" s="44">
        <f>'SC4'!K9</f>
        <v>0</v>
      </c>
      <c r="F104" s="44">
        <f>'SC4'!K10</f>
        <v>2490402</v>
      </c>
      <c r="G104" s="44">
        <f>'SC4'!K11</f>
        <v>0</v>
      </c>
      <c r="H104" s="44">
        <f>'SC4'!K12</f>
        <v>4625803</v>
      </c>
      <c r="I104" s="44">
        <f>'SC4'!K13</f>
        <v>0</v>
      </c>
      <c r="J104" s="44">
        <f>'SC4'!K14</f>
        <v>0</v>
      </c>
    </row>
    <row r="106" spans="1:10" ht="12" customHeight="1">
      <c r="A106" s="62"/>
      <c r="B106" s="44"/>
      <c r="C106" s="44"/>
    </row>
  </sheetData>
  <sheetProtection sheet="1" objects="1" scenarios="1" selectLockedCells="1" selectUnlockedCells="1"/>
  <phoneticPr fontId="3" type="noConversion"/>
  <pageMargins left="0.75" right="0.75" top="1" bottom="1" header="0.5" footer="0.5"/>
  <pageSetup paperSize="9" scale="45" orientation="portrait" r:id="rId1"/>
  <headerFooter alignWithMargins="0"/>
  <rowBreaks count="1" manualBreakCount="1">
    <brk id="75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105EF65D7DD4491576E22CD5875CF" ma:contentTypeVersion="0" ma:contentTypeDescription="Create a new document." ma:contentTypeScope="" ma:versionID="cddb5190987120b4bb0f5b1916b7e25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B7833-0B35-4ABF-B9C4-016F388F8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154</vt:i4>
      </vt:variant>
    </vt:vector>
  </HeadingPairs>
  <TitlesOfParts>
    <vt:vector size="185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'SC7'!Print_Area</vt:lpstr>
      <vt:lpstr>SC71charts!Print_Area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Mamello  Moshoeshoe</cp:lastModifiedBy>
  <cp:lastPrinted>2013-02-11T07:57:20Z</cp:lastPrinted>
  <dcterms:created xsi:type="dcterms:W3CDTF">2004-04-07T16:19:08Z</dcterms:created>
  <dcterms:modified xsi:type="dcterms:W3CDTF">2013-02-27T12:22:19Z</dcterms:modified>
</cp:coreProperties>
</file>